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35" windowHeight="11850" activeTab="1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2" hidden="1">'ф.3'!$E:$F</definedName>
    <definedName name="Z_650DB8ED_FD03_48A1_AF5F_C6A17B786369_.wvu.Cols" localSheetId="3" hidden="1">'ф.4'!$D:$D,'ф.4'!$G:$H,'ф.4'!$M:$N</definedName>
    <definedName name="Z_650DB8ED_FD03_48A1_AF5F_C6A17B786369_.wvu.PrintArea" localSheetId="1" hidden="1">'ф.2'!$A$1:$C$83</definedName>
    <definedName name="Z_650DB8ED_FD03_48A1_AF5F_C6A17B786369_.wvu.Rows" localSheetId="0" hidden="1">'ф.1'!$55:$56,'ф.1'!$61:$62</definedName>
    <definedName name="Z_650DB8ED_FD03_48A1_AF5F_C6A17B786369_.wvu.Rows" localSheetId="1" hidden="1">'ф.2'!$14:$14,'ф.2'!$17:$18,'ф.2'!$50:$52,'ф.2'!$59:$63</definedName>
    <definedName name="Z_650DB8ED_FD03_48A1_AF5F_C6A17B786369_.wvu.Rows" localSheetId="2" hidden="1">'ф.3'!$49:$49,'ф.3'!$55:$55,'ф.3'!$59:$59,'ф.3'!$67:$69</definedName>
    <definedName name="Z_650DB8ED_FD03_48A1_AF5F_C6A17B786369_.wvu.Rows" localSheetId="3" hidden="1">'ф.4'!$31:$31,'ф.4'!$45:$46</definedName>
    <definedName name="Z_6F1EF12F_9811_40B2_B251_CE607831BA04_.wvu.Rows" localSheetId="1" hidden="1">'ф.2'!#REF!</definedName>
    <definedName name="Z_7520B540_E788_45CC_BB5C_6473A711B280_.wvu.Cols" localSheetId="2" hidden="1">'ф.3'!$E:$F</definedName>
    <definedName name="Z_7520B540_E788_45CC_BB5C_6473A711B280_.wvu.Cols" localSheetId="3" hidden="1">'ф.4'!$D:$D,'ф.4'!$G:$H,'ф.4'!$M:$N</definedName>
    <definedName name="Z_7520B540_E788_45CC_BB5C_6473A711B280_.wvu.PrintArea" localSheetId="1" hidden="1">'ф.2'!$A$1:$C$83</definedName>
    <definedName name="Z_7520B540_E788_45CC_BB5C_6473A711B280_.wvu.Rows" localSheetId="0" hidden="1">'ф.1'!$55:$56,'ф.1'!$61:$62</definedName>
    <definedName name="Z_7520B540_E788_45CC_BB5C_6473A711B280_.wvu.Rows" localSheetId="1" hidden="1">'ф.2'!$14:$14,'ф.2'!$17:$18,'ф.2'!$50:$52,'ф.2'!$59:$63</definedName>
    <definedName name="Z_7520B540_E788_45CC_BB5C_6473A711B280_.wvu.Rows" localSheetId="2" hidden="1">'ф.3'!$49:$49,'ф.3'!$55:$55,'ф.3'!$59:$59,'ф.3'!$67:$69</definedName>
    <definedName name="Z_7520B540_E788_45CC_BB5C_6473A711B280_.wvu.Rows" localSheetId="3" hidden="1">'ф.4'!$31:$31,'ф.4'!$45:$46</definedName>
    <definedName name="Z_E062E976_5C69_4170_B000_953CF0486F6B_.wvu.Cols" localSheetId="2" hidden="1">'ф.3'!$E:$F</definedName>
    <definedName name="Z_E062E976_5C69_4170_B000_953CF0486F6B_.wvu.Cols" localSheetId="3" hidden="1">'ф.4'!$D:$D</definedName>
    <definedName name="Z_E062E976_5C69_4170_B000_953CF0486F6B_.wvu.PrintArea" localSheetId="1" hidden="1">'ф.2'!$A$1:$C$83</definedName>
    <definedName name="Z_E062E976_5C69_4170_B000_953CF0486F6B_.wvu.Rows" localSheetId="0" hidden="1">'ф.1'!$61:$62</definedName>
    <definedName name="Z_E062E976_5C69_4170_B000_953CF0486F6B_.wvu.Rows" localSheetId="1" hidden="1">'ф.2'!$18:$18,'ф.2'!$50:$52,'ф.2'!$68:$70</definedName>
    <definedName name="Z_E062E976_5C69_4170_B000_953CF0486F6B_.wvu.Rows" localSheetId="2" hidden="1">'ф.3'!$49:$49,'ф.3'!$55:$55,'ф.3'!$59:$59,'ф.3'!$68:$68,'ф.3'!$69:$69</definedName>
    <definedName name="Z_E062E976_5C69_4170_B000_953CF0486F6B_.wvu.Rows" localSheetId="3" hidden="1">'ф.4'!$31:$31,'ф.4'!$54:$54,'ф.4'!$56:$56</definedName>
    <definedName name="_xlnm.Print_Area" localSheetId="1">'ф.2'!$A$1:$C$83</definedName>
  </definedNames>
  <calcPr fullCalcOnLoad="1"/>
</workbook>
</file>

<file path=xl/sharedStrings.xml><?xml version="1.0" encoding="utf-8"?>
<sst xmlns="http://schemas.openxmlformats.org/spreadsheetml/2006/main" count="281" uniqueCount="214">
  <si>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</si>
  <si>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</si>
  <si>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</si>
  <si>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</si>
  <si>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</si>
  <si>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</si>
  <si>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</si>
  <si>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</si>
  <si>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</si>
  <si>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</si>
  <si>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</si>
  <si>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</si>
  <si>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</si>
  <si>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</si>
  <si>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</si>
  <si>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</si>
  <si>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</si>
  <si>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</si>
  <si>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</si>
  <si>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</si>
  <si>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</si>
  <si>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</si>
  <si>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</si>
  <si>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</si>
  <si>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</si>
  <si>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</si>
  <si>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</si>
  <si>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</si>
  <si>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</si>
  <si>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</si>
  <si>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</si>
  <si>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</si>
  <si>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</si>
  <si>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</si>
  <si>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</si>
  <si>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</si>
  <si>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</si>
  <si>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</si>
  <si>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</si>
  <si>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</si>
  <si>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</si>
  <si>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</si>
  <si>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</si>
  <si>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</si>
  <si>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</si>
  <si>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</si>
  <si>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</si>
  <si>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</si>
  <si>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</si>
  <si>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</si>
  <si>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</si>
  <si>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</si>
  <si>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</si>
  <si>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</si>
  <si>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</si>
  <si>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</si>
  <si>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</si>
  <si>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</si>
  <si>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</si>
  <si>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</si>
  <si>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</si>
  <si>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</si>
  <si>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</si>
  <si>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</si>
  <si>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</si>
  <si>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</si>
  <si>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</si>
  <si>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</si>
  <si>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</si>
  <si>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</si>
  <si>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</si>
  <si>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</si>
  <si>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</si>
  <si>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</si>
  <si>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</si>
  <si>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</si>
  <si>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</si>
  <si>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</si>
  <si>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</si>
  <si>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</si>
  <si>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</si>
  <si>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</si>
  <si>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</si>
  <si>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</si>
  <si>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</si>
  <si>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</si>
  <si>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</si>
  <si>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</si>
  <si>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</si>
  <si>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</si>
  <si>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</si>
  <si>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</si>
  <si>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</si>
  <si>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</si>
  <si>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</si>
  <si>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</si>
  <si>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</si>
  <si>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</si>
  <si>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</si>
  <si>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</si>
  <si>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</si>
  <si>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</si>
  <si>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</si>
  <si>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</si>
  <si>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</si>
  <si>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</si>
  <si>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</si>
  <si>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</si>
  <si>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</si>
  <si>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</si>
  <si>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</si>
  <si>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</si>
  <si>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</si>
  <si>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</si>
  <si>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</si>
  <si>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</si>
  <si>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</si>
  <si>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</si>
  <si>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</si>
  <si>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</si>
  <si>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</si>
  <si>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</si>
  <si>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</si>
  <si>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</si>
  <si>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</si>
  <si>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</si>
  <si>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</si>
  <si>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</si>
  <si>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</si>
  <si>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</si>
  <si>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</si>
  <si>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</si>
  <si>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</si>
  <si>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</si>
  <si>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</si>
  <si>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</si>
  <si>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</si>
  <si>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>Изменения доли перестраховщиков в резервах по договорам страхования</t>
  </si>
  <si>
    <t>Кредиторская задолженность по сделкам "репо"</t>
  </si>
  <si>
    <t>в т.ч. дивиденды по привилегированным акциям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</si>
  <si>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</si>
  <si>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</si>
  <si>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</si>
  <si>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 xml:space="preserve"> - акционерам Банка</t>
  </si>
  <si>
    <t>Общий совокупный доход за период</t>
  </si>
  <si>
    <t>Поступления от продажи долгосрочных активов, предназначенных для продажи</t>
  </si>
  <si>
    <t>Поступления от приобретения дочерней компании, за вычетом полученных денежных средств</t>
  </si>
  <si>
    <t>млн.тенге</t>
  </si>
  <si>
    <t>млн тенге</t>
  </si>
  <si>
    <t>тыс.тенге</t>
  </si>
  <si>
    <t>Чистое изменение справедливой стоимости  финансовых активов, имеющихся в наличии для продажи, перенесенное в состав прибыли или убытка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</si>
  <si>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</si>
  <si>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</si>
  <si>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</si>
  <si>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</si>
  <si>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</si>
  <si>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</si>
  <si>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</si>
  <si>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Денежные средства и их эквиваленты на начало года</t>
  </si>
  <si>
    <t>Выкуп привилегированных акций</t>
  </si>
  <si>
    <t>Приобретение доли неконтролирующих акционеров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</si>
  <si>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</si>
  <si>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от операций с финансовыми активами, имеющимися в наличии для продажи</t>
  </si>
  <si>
    <t>Приобретение инвестиций в ассоциированные компании</t>
  </si>
  <si>
    <t>Прибыль за период</t>
  </si>
  <si>
    <t>Прочий совокупный доход (убыток) доход за период</t>
  </si>
  <si>
    <t>Всего совокупного дохода за период</t>
  </si>
  <si>
    <t xml:space="preserve"> - неконтролирующим акционерам</t>
  </si>
  <si>
    <t>Денежные средства и их эквиваленты на конец периода</t>
  </si>
  <si>
    <t>Инвестиции в ассоциированные компании</t>
  </si>
  <si>
    <t>Доход от инвестиции в ассоциированное предприятие</t>
  </si>
  <si>
    <t>(Выкуп)/продажа привилегированных акций</t>
  </si>
  <si>
    <t>Чистая прибыль (убыток) от операций с иностранной валютой и драгоценными металлами</t>
  </si>
  <si>
    <t>(без учета заключительных оборотов)</t>
  </si>
  <si>
    <t>Доход от выбытия инвестиций в дочерние и ассоциированные компании</t>
  </si>
  <si>
    <t>Эффект от перехода на МСФО 9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</si>
  <si>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</si>
  <si>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</si>
  <si>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Резерв (провизии) на покрытие ожидаемых кредитных убытков по финансовым активам, имеющимся в наличии для продажи</t>
  </si>
  <si>
    <t>Чистое изменения резерва на покрытие ожидаемых кредитных убытков по финансовым активам, имеющимся в наличии для продажи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</si>
  <si>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</si>
  <si>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</si>
  <si>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Перевод из обязательного резерва</t>
  </si>
  <si>
    <t>Расформирование динамического резерва</t>
  </si>
  <si>
    <t>Поступления от выбытия инвестиций ассоциированных компаний</t>
  </si>
  <si>
    <t>Чистое изменение резерва по переоценке финансовых активов, имеющихся в наличии для продажи</t>
  </si>
  <si>
    <t>Чистое изменение резерва на покрытие убытков по финансовым активам, имеющимся в наличии для продажи</t>
  </si>
  <si>
    <t>Чистые поступления по операциям с иностранной валютой и драгоценными металлами</t>
  </si>
  <si>
    <t>Остаток по состоянию на 1 января 2018 года с учетом МСФО 9*</t>
  </si>
  <si>
    <t>Дивиденды по акциям</t>
  </si>
  <si>
    <t>Остаток по состоянию на 1 января 2017 года*</t>
  </si>
  <si>
    <t>Остаток по состоянию на 1 января 2018 года*</t>
  </si>
  <si>
    <t>Всего совокупного дохода за периол</t>
  </si>
  <si>
    <t xml:space="preserve">Выкуп собственных простых акций </t>
  </si>
  <si>
    <t>Продажа собственных привилегированных акций</t>
  </si>
  <si>
    <t>Погашение долговых ценных бумаг выпущенных</t>
  </si>
  <si>
    <t>31.12.2017г.*</t>
  </si>
  <si>
    <t>Продажа (выкуп) собственных акций</t>
  </si>
  <si>
    <t xml:space="preserve">  по состоянию на 30.09.2018 года</t>
  </si>
  <si>
    <t>30.09.2018г.*</t>
  </si>
  <si>
    <t>за период, закончившийся 30.09.2018 года</t>
  </si>
  <si>
    <t>9 месяцев 2018г.*</t>
  </si>
  <si>
    <t>Выкуп собственных привилегированных акций</t>
  </si>
  <si>
    <t>Остаток по состоянию на 30 сентября 2017 года*</t>
  </si>
  <si>
    <t>Остаток по состоянию на 30 сентября 2018 года*</t>
  </si>
  <si>
    <t>9 месяцев 2017г.*</t>
  </si>
  <si>
    <t xml:space="preserve">Председатель Правления                                              </t>
  </si>
  <si>
    <t>Вокурка У.</t>
  </si>
  <si>
    <t xml:space="preserve">Главный бухгалтер                                                        </t>
  </si>
  <si>
    <t>Багаутдинова Н.М.</t>
  </si>
  <si>
    <t>Базовая прибыль на простую акцию (в тенге)</t>
  </si>
  <si>
    <t>Разводненная прибыль на простую акцию (в тенге)</t>
  </si>
  <si>
    <t>Балансовая стоимость одной простой акции по состоянию на 30.09.2018г. составляет 2,813 тенге</t>
  </si>
  <si>
    <t>Балансовая стоимость одной привилегированной акции по состоянию на 30.09.2018г. составляет 1,075 тенге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</si>
</sst>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_-* #,##0_р_._-;\-* #,##0_р_._-;_-* &quot;-&quot;??_р_._-;_-@_-"/>
    <numFmt numFmtId="182" formatCode="#,###"/>
    <numFmt numFmtId="183" formatCode="_(* #,##0_);_(* \(#,##0\);_(* &quot;-&quot;??_);_(@_)"/>
    <numFmt numFmtId="184" formatCode="0.0000"/>
    <numFmt numFmtId="185" formatCode="_(* #,##0_);_(* \(#,##0\);_(* &quot;-&quot;_);_(@_)"/>
    <numFmt numFmtId="186" formatCode="_(* #,##0_);_(* \(#,##0\);_(* \-_);_(@_)"/>
    <numFmt numFmtId="187" formatCode="#,##0.0"/>
    <numFmt numFmtId="188" formatCode="_(* #,##0.00_);_(* \(#,##0.00\);_(* \-_);_(@_)"/>
    <numFmt numFmtId="189" formatCode="#,##0.00_ ;[Red]\-#,##0.00\ "/>
    <numFmt numFmtId="190" formatCode="mm/dd/yy"/>
    <numFmt numFmtId="191" formatCode="* \(#,##0\);* #,##0_);&quot;-&quot;??_);@"/>
    <numFmt numFmtId="192" formatCode="* #,##0_);* \(#,##0\);&quot;-&quot;??_);@"/>
    <numFmt numFmtId="193" formatCode="#,##0;\-#,##0;&quot;-&quot;"/>
    <numFmt numFmtId="194" formatCode="mmm/dd"/>
    <numFmt numFmtId="195" formatCode="_(* #,##0.000_);_(* \(#,##0.000\);_(* &quot;-&quot;??_);_(@_)"/>
    <numFmt numFmtId="196" formatCode="#,##0.000"/>
    <numFmt numFmtId="197" formatCode="0.0000%"/>
    <numFmt numFmtId="198" formatCode="#,##0.00000"/>
    <numFmt numFmtId="199" formatCode="_-* #,##0.00[$€-1]_-;\-* #,##0.00[$€-1]_-;_-* &quot;-&quot;??[$€-1]_-"/>
    <numFmt numFmtId="200" formatCode="_(* #,##0.0_);_(* \(#,##0.0\);_(* \-_);_(@_)"/>
    <numFmt numFmtId="201" formatCode="_(* #,##0.000_);_(* \(#,##0.000\);_(* \-_);_(@_)"/>
    <numFmt numFmtId="202" formatCode="000"/>
    <numFmt numFmtId="203" formatCode="[=0]&quot;-&quot;;General"/>
    <numFmt numFmtId="204" formatCode="0,"/>
    <numFmt numFmtId="205" formatCode="[=-1512658]&quot;(1 513)&quot;;General"/>
    <numFmt numFmtId="206" formatCode="0.000%"/>
    <numFmt numFmtId="207" formatCode="_-* #,##0.0000_р_._-;\-* #,##0.0000_р_._-;_-* &quot;-&quot;????_р_._-;_-@_-"/>
    <numFmt numFmtId="208" formatCode="#,##0_р_."/>
    <numFmt numFmtId="209" formatCode="_-* #,##0_-;\-* #,##0_-;_-* &quot;-&quot;??_-;_-@_-"/>
    <numFmt numFmtId="210" formatCode="0.000000%"/>
    <numFmt numFmtId="211" formatCode="#,##0;\(#,##0\);&quot;-&quot;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_р_._-;\-* #,##0.0_р_._-;_-* &quot;-&quot;??_р_._-;_-@_-"/>
    <numFmt numFmtId="218" formatCode="_-* #,##0.000_р_._-;\-* #,##0.000_р_._-;_-* &quot;-&quot;??_р_._-;_-@_-"/>
    <numFmt numFmtId="219" formatCode="_-* #,##0.0000_р_._-;\-* #,##0.0000_р_._-;_-* &quot;-&quot;??_р_._-;_-@_-"/>
    <numFmt numFmtId="220" formatCode="#,##0_ ;[Red]\-#,##0\ "/>
    <numFmt numFmtId="221" formatCode="#,##0\ _₽"/>
    <numFmt numFmtId="222" formatCode="_-* #,##0\ _₽_-;\-* #,##0\ _₽_-;_-* &quot;-&quot;??\ _₽_-;_-@_-"/>
    <numFmt numFmtId="223" formatCode="[$-2]###,000_);\([$-2]###,0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Arial Cyr"/>
      <family val="0"/>
    </font>
    <font>
      <b/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5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theme="0"/>
      <name val="Arial Cyr"/>
      <family val="0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sz val="15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medium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83" fillId="28" borderId="0" applyNumberFormat="0" applyBorder="0" applyAlignment="0" applyProtection="0"/>
    <xf numFmtId="0" fontId="33" fillId="24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33" fillId="15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33" fillId="16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33" fillId="25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33" fillId="26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33" fillId="27" borderId="0" applyNumberFormat="0" applyBorder="0" applyAlignment="0" applyProtection="0"/>
    <xf numFmtId="0" fontId="8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44" fillId="3" borderId="0" applyNumberFormat="0" applyBorder="0" applyAlignment="0" applyProtection="0"/>
    <xf numFmtId="0" fontId="58" fillId="0" borderId="0" applyNumberFormat="0" applyFill="0" applyBorder="0" applyAlignment="0" applyProtection="0"/>
    <xf numFmtId="193" fontId="59" fillId="0" borderId="0" applyFill="0" applyBorder="0" applyAlignment="0">
      <protection/>
    </xf>
    <xf numFmtId="0" fontId="36" fillId="38" borderId="1" applyNumberFormat="0" applyAlignment="0" applyProtection="0"/>
    <xf numFmtId="0" fontId="36" fillId="38" borderId="1" applyNumberFormat="0" applyAlignment="0" applyProtection="0"/>
    <xf numFmtId="0" fontId="41" fillId="39" borderId="2" applyNumberFormat="0" applyAlignment="0" applyProtection="0"/>
    <xf numFmtId="180" fontId="3" fillId="0" borderId="0" applyFont="0" applyFill="0" applyBorder="0" applyAlignment="0" applyProtection="0"/>
    <xf numFmtId="0" fontId="60" fillId="0" borderId="0" applyNumberFormat="0" applyAlignment="0">
      <protection/>
    </xf>
    <xf numFmtId="191" fontId="14" fillId="0" borderId="0" applyFill="0" applyBorder="0" applyProtection="0">
      <alignment/>
    </xf>
    <xf numFmtId="191" fontId="14" fillId="0" borderId="3" applyFill="0" applyProtection="0">
      <alignment/>
    </xf>
    <xf numFmtId="191" fontId="14" fillId="0" borderId="3" applyFill="0" applyProtection="0">
      <alignment/>
    </xf>
    <xf numFmtId="191" fontId="14" fillId="0" borderId="4" applyFill="0" applyProtection="0">
      <alignment/>
    </xf>
    <xf numFmtId="192" fontId="14" fillId="0" borderId="0" applyFill="0" applyBorder="0" applyProtection="0">
      <alignment/>
    </xf>
    <xf numFmtId="192" fontId="14" fillId="0" borderId="3" applyFill="0" applyProtection="0">
      <alignment/>
    </xf>
    <xf numFmtId="192" fontId="14" fillId="0" borderId="3" applyFill="0" applyProtection="0">
      <alignment/>
    </xf>
    <xf numFmtId="192" fontId="14" fillId="0" borderId="4" applyFill="0" applyProtection="0">
      <alignment/>
    </xf>
    <xf numFmtId="0" fontId="61" fillId="0" borderId="0" applyNumberFormat="0" applyAlignment="0">
      <protection/>
    </xf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55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4" fillId="7" borderId="1" applyNumberFormat="0" applyAlignment="0" applyProtection="0"/>
    <xf numFmtId="10" fontId="55" fillId="40" borderId="10" applyNumberFormat="0" applyBorder="0" applyAlignment="0" applyProtection="0"/>
    <xf numFmtId="10" fontId="55" fillId="40" borderId="1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38" fontId="54" fillId="0" borderId="0">
      <alignment/>
      <protection/>
    </xf>
    <xf numFmtId="38" fontId="7" fillId="0" borderId="0">
      <alignment/>
      <protection/>
    </xf>
    <xf numFmtId="38" fontId="53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11" applyNumberFormat="0" applyFill="0" applyAlignment="0" applyProtection="0"/>
    <xf numFmtId="0" fontId="43" fillId="41" borderId="0" applyNumberFormat="0" applyBorder="0" applyAlignment="0" applyProtection="0"/>
    <xf numFmtId="194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90" fontId="62" fillId="0" borderId="0" applyNumberFormat="0" applyFill="0" applyBorder="0" applyAlignment="0" applyProtection="0"/>
    <xf numFmtId="40" fontId="63" fillId="0" borderId="0" applyBorder="0">
      <alignment horizontal="right"/>
      <protection/>
    </xf>
    <xf numFmtId="0" fontId="4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33" fillId="34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33" fillId="35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33" fillId="36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33" fillId="25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33" fillId="26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33" fillId="37" borderId="0" applyNumberFormat="0" applyBorder="0" applyAlignment="0" applyProtection="0"/>
    <xf numFmtId="0" fontId="83" fillId="47" borderId="0" applyNumberFormat="0" applyBorder="0" applyAlignment="0" applyProtection="0"/>
    <xf numFmtId="0" fontId="84" fillId="48" borderId="15" applyNumberFormat="0" applyAlignment="0" applyProtection="0"/>
    <xf numFmtId="0" fontId="84" fillId="48" borderId="15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85" fillId="49" borderId="16" applyNumberFormat="0" applyAlignment="0" applyProtection="0"/>
    <xf numFmtId="0" fontId="85" fillId="49" borderId="16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86" fillId="49" borderId="15" applyNumberFormat="0" applyAlignment="0" applyProtection="0"/>
    <xf numFmtId="0" fontId="86" fillId="49" borderId="15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20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91" fillId="0" borderId="20" applyNumberFormat="0" applyFill="0" applyAlignment="0" applyProtection="0"/>
    <xf numFmtId="0" fontId="40" fillId="0" borderId="14" applyNumberFormat="0" applyFill="0" applyAlignment="0" applyProtection="0"/>
    <xf numFmtId="0" fontId="92" fillId="50" borderId="21" applyNumberFormat="0" applyAlignment="0" applyProtection="0"/>
    <xf numFmtId="0" fontId="41" fillId="39" borderId="2" applyNumberFormat="0" applyAlignment="0" applyProtection="0"/>
    <xf numFmtId="0" fontId="92" fillId="50" borderId="21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5" fillId="0" borderId="0">
      <alignment horizontal="left"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6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6" fillId="0" borderId="0" applyNumberFormat="0" applyFill="0" applyBorder="0" applyAlignment="0" applyProtection="0"/>
    <xf numFmtId="0" fontId="97" fillId="52" borderId="0" applyNumberFormat="0" applyBorder="0" applyAlignment="0" applyProtection="0"/>
    <xf numFmtId="0" fontId="44" fillId="3" borderId="0" applyNumberFormat="0" applyBorder="0" applyAlignment="0" applyProtection="0"/>
    <xf numFmtId="0" fontId="97" fillId="52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3" fillId="0" borderId="0">
      <alignment/>
      <protection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6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70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01" fillId="54" borderId="0" applyNumberFormat="0" applyBorder="0" applyAlignment="0" applyProtection="0"/>
    <xf numFmtId="0" fontId="48" fillId="4" borderId="0" applyNumberFormat="0" applyBorder="0" applyAlignment="0" applyProtection="0"/>
    <xf numFmtId="0" fontId="101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82" fontId="4" fillId="0" borderId="27" xfId="0" applyNumberFormat="1" applyFont="1" applyFill="1" applyBorder="1" applyAlignment="1">
      <alignment horizontal="right" wrapText="1" indent="1"/>
    </xf>
    <xf numFmtId="3" fontId="2" fillId="0" borderId="25" xfId="0" applyNumberFormat="1" applyFont="1" applyFill="1" applyBorder="1" applyAlignment="1">
      <alignment/>
    </xf>
    <xf numFmtId="182" fontId="2" fillId="0" borderId="0" xfId="0" applyNumberFormat="1" applyFont="1" applyAlignment="1">
      <alignment/>
    </xf>
    <xf numFmtId="0" fontId="4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83" fontId="4" fillId="0" borderId="27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9" xfId="0" applyFont="1" applyBorder="1" applyAlignment="1">
      <alignment vertical="center" wrapText="1"/>
    </xf>
    <xf numFmtId="185" fontId="25" fillId="0" borderId="0" xfId="0" applyNumberFormat="1" applyFont="1" applyAlignment="1">
      <alignment/>
    </xf>
    <xf numFmtId="185" fontId="18" fillId="0" borderId="0" xfId="508" applyNumberFormat="1" applyFont="1" applyAlignment="1">
      <alignment horizontal="center" vertical="center" wrapText="1"/>
      <protection/>
    </xf>
    <xf numFmtId="185" fontId="28" fillId="0" borderId="0" xfId="0" applyNumberFormat="1" applyFont="1" applyAlignment="1">
      <alignment/>
    </xf>
    <xf numFmtId="185" fontId="18" fillId="55" borderId="0" xfId="508" applyNumberFormat="1" applyFont="1" applyFill="1" applyAlignment="1">
      <alignment horizontal="left" vertical="top" wrapText="1"/>
      <protection/>
    </xf>
    <xf numFmtId="185" fontId="20" fillId="0" borderId="10" xfId="0" applyNumberFormat="1" applyFont="1" applyFill="1" applyBorder="1" applyAlignment="1">
      <alignment horizontal="right" vertical="top"/>
    </xf>
    <xf numFmtId="185" fontId="18" fillId="0" borderId="10" xfId="0" applyNumberFormat="1" applyFont="1" applyFill="1" applyBorder="1" applyAlignment="1">
      <alignment horizontal="right" vertical="top"/>
    </xf>
    <xf numFmtId="185" fontId="20" fillId="0" borderId="30" xfId="0" applyNumberFormat="1" applyFont="1" applyFill="1" applyBorder="1" applyAlignment="1">
      <alignment horizontal="right" vertical="top"/>
    </xf>
    <xf numFmtId="185" fontId="25" fillId="0" borderId="0" xfId="0" applyNumberFormat="1" applyFont="1" applyFill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183" fontId="18" fillId="0" borderId="10" xfId="0" applyNumberFormat="1" applyFont="1" applyFill="1" applyBorder="1" applyAlignment="1">
      <alignment horizontal="right" vertical="top"/>
    </xf>
    <xf numFmtId="0" fontId="30" fillId="0" borderId="31" xfId="0" applyFont="1" applyFill="1" applyBorder="1" applyAlignment="1">
      <alignment vertical="center" wrapText="1"/>
    </xf>
    <xf numFmtId="185" fontId="20" fillId="0" borderId="32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vertical="center" wrapText="1"/>
    </xf>
    <xf numFmtId="185" fontId="18" fillId="0" borderId="34" xfId="0" applyNumberFormat="1" applyFont="1" applyFill="1" applyBorder="1" applyAlignment="1">
      <alignment horizontal="right" vertical="top"/>
    </xf>
    <xf numFmtId="185" fontId="20" fillId="0" borderId="35" xfId="0" applyNumberFormat="1" applyFont="1" applyFill="1" applyBorder="1" applyAlignment="1">
      <alignment horizontal="right" vertical="top"/>
    </xf>
    <xf numFmtId="185" fontId="20" fillId="0" borderId="34" xfId="0" applyNumberFormat="1" applyFont="1" applyFill="1" applyBorder="1" applyAlignment="1">
      <alignment horizontal="right" vertical="top"/>
    </xf>
    <xf numFmtId="185" fontId="20" fillId="0" borderId="36" xfId="0" applyNumberFormat="1" applyFont="1" applyFill="1" applyBorder="1" applyAlignment="1">
      <alignment horizontal="right" vertical="top"/>
    </xf>
    <xf numFmtId="0" fontId="20" fillId="0" borderId="31" xfId="0" applyFont="1" applyFill="1" applyBorder="1" applyAlignment="1">
      <alignment wrapText="1"/>
    </xf>
    <xf numFmtId="185" fontId="27" fillId="0" borderId="0" xfId="0" applyNumberFormat="1" applyFont="1" applyFill="1" applyAlignment="1">
      <alignment/>
    </xf>
    <xf numFmtId="0" fontId="20" fillId="0" borderId="37" xfId="0" applyFont="1" applyFill="1" applyBorder="1" applyAlignment="1">
      <alignment wrapText="1"/>
    </xf>
    <xf numFmtId="185" fontId="20" fillId="0" borderId="38" xfId="0" applyNumberFormat="1" applyFont="1" applyFill="1" applyBorder="1" applyAlignment="1">
      <alignment horizontal="right" vertical="top"/>
    </xf>
    <xf numFmtId="185" fontId="20" fillId="0" borderId="39" xfId="0" applyNumberFormat="1" applyFont="1" applyFill="1" applyBorder="1" applyAlignment="1">
      <alignment horizontal="right" vertical="top"/>
    </xf>
    <xf numFmtId="185" fontId="20" fillId="0" borderId="0" xfId="0" applyNumberFormat="1" applyFont="1" applyFill="1" applyBorder="1" applyAlignment="1">
      <alignment horizontal="right" vertical="top"/>
    </xf>
    <xf numFmtId="185" fontId="4" fillId="0" borderId="0" xfId="0" applyNumberFormat="1" applyFont="1" applyBorder="1" applyAlignment="1">
      <alignment horizontal="left" vertical="center" wrapText="1"/>
    </xf>
    <xf numFmtId="185" fontId="4" fillId="0" borderId="0" xfId="0" applyNumberFormat="1" applyFont="1" applyAlignment="1">
      <alignment horizontal="left" vertical="top"/>
    </xf>
    <xf numFmtId="185" fontId="4" fillId="0" borderId="0" xfId="0" applyNumberFormat="1" applyFont="1" applyAlignment="1">
      <alignment vertical="center" wrapText="1"/>
    </xf>
    <xf numFmtId="185" fontId="25" fillId="0" borderId="0" xfId="0" applyNumberFormat="1" applyFont="1" applyAlignment="1">
      <alignment horizontal="left" vertical="top" wrapText="1"/>
    </xf>
    <xf numFmtId="185" fontId="18" fillId="55" borderId="33" xfId="508" applyNumberFormat="1" applyFont="1" applyFill="1" applyBorder="1" applyAlignment="1">
      <alignment horizontal="left" vertical="top" wrapText="1"/>
      <protection/>
    </xf>
    <xf numFmtId="0" fontId="18" fillId="0" borderId="40" xfId="0" applyFont="1" applyFill="1" applyBorder="1" applyAlignment="1">
      <alignment vertical="center" wrapText="1"/>
    </xf>
    <xf numFmtId="185" fontId="18" fillId="0" borderId="36" xfId="0" applyNumberFormat="1" applyFont="1" applyFill="1" applyBorder="1" applyAlignment="1">
      <alignment horizontal="right" vertical="top"/>
    </xf>
    <xf numFmtId="185" fontId="20" fillId="0" borderId="41" xfId="0" applyNumberFormat="1" applyFont="1" applyFill="1" applyBorder="1" applyAlignment="1">
      <alignment horizontal="right" vertical="top"/>
    </xf>
    <xf numFmtId="0" fontId="20" fillId="0" borderId="4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185" fontId="29" fillId="0" borderId="36" xfId="0" applyNumberFormat="1" applyFont="1" applyFill="1" applyBorder="1" applyAlignment="1">
      <alignment horizontal="right" vertical="top"/>
    </xf>
    <xf numFmtId="0" fontId="20" fillId="0" borderId="43" xfId="0" applyFont="1" applyFill="1" applyBorder="1" applyAlignment="1">
      <alignment wrapText="1"/>
    </xf>
    <xf numFmtId="185" fontId="20" fillId="0" borderId="44" xfId="0" applyNumberFormat="1" applyFont="1" applyFill="1" applyBorder="1" applyAlignment="1">
      <alignment horizontal="right" vertical="top"/>
    </xf>
    <xf numFmtId="185" fontId="18" fillId="0" borderId="45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wrapText="1"/>
    </xf>
    <xf numFmtId="0" fontId="2" fillId="0" borderId="46" xfId="0" applyFont="1" applyBorder="1" applyAlignment="1">
      <alignment wrapText="1"/>
    </xf>
    <xf numFmtId="185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83" fontId="2" fillId="0" borderId="46" xfId="0" applyNumberFormat="1" applyFont="1" applyFill="1" applyBorder="1" applyAlignment="1">
      <alignment horizontal="right" wrapText="1" indent="1"/>
    </xf>
    <xf numFmtId="3" fontId="2" fillId="0" borderId="27" xfId="0" applyNumberFormat="1" applyFont="1" applyFill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85" fontId="4" fillId="0" borderId="0" xfId="0" applyNumberFormat="1" applyFont="1" applyBorder="1" applyAlignment="1">
      <alignment vertical="center" wrapText="1"/>
    </xf>
    <xf numFmtId="0" fontId="22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1" fillId="0" borderId="2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85" fontId="20" fillId="0" borderId="34" xfId="510" applyNumberFormat="1" applyFont="1" applyFill="1" applyBorder="1" applyAlignment="1">
      <alignment horizontal="center" vertical="center" wrapText="1"/>
      <protection/>
    </xf>
    <xf numFmtId="185" fontId="31" fillId="0" borderId="42" xfId="0" applyNumberFormat="1" applyFont="1" applyFill="1" applyBorder="1" applyAlignment="1">
      <alignment horizontal="left" vertical="top" wrapText="1"/>
    </xf>
    <xf numFmtId="185" fontId="18" fillId="0" borderId="48" xfId="0" applyNumberFormat="1" applyFont="1" applyFill="1" applyBorder="1" applyAlignment="1">
      <alignment horizontal="right" vertical="top"/>
    </xf>
    <xf numFmtId="185" fontId="18" fillId="0" borderId="49" xfId="0" applyNumberFormat="1" applyFont="1" applyFill="1" applyBorder="1" applyAlignment="1">
      <alignment horizontal="right" vertical="top"/>
    </xf>
    <xf numFmtId="185" fontId="18" fillId="0" borderId="0" xfId="508" applyNumberFormat="1" applyFont="1" applyFill="1" applyAlignment="1">
      <alignment horizontal="right" vertical="top"/>
      <protection/>
    </xf>
    <xf numFmtId="185" fontId="20" fillId="0" borderId="34" xfId="508" applyNumberFormat="1" applyFont="1" applyFill="1" applyBorder="1" applyAlignment="1">
      <alignment horizontal="center" vertical="center" wrapText="1"/>
      <protection/>
    </xf>
    <xf numFmtId="185" fontId="25" fillId="0" borderId="0" xfId="0" applyNumberFormat="1" applyFont="1" applyFill="1" applyAlignment="1">
      <alignment horizontal="right" vertical="top"/>
    </xf>
    <xf numFmtId="185" fontId="25" fillId="0" borderId="0" xfId="0" applyNumberFormat="1" applyFont="1" applyFill="1" applyAlignment="1">
      <alignment vertical="top" wrapText="1"/>
    </xf>
    <xf numFmtId="183" fontId="5" fillId="0" borderId="27" xfId="1075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6" fillId="0" borderId="27" xfId="0" applyNumberFormat="1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vertical="center" wrapText="1"/>
    </xf>
    <xf numFmtId="183" fontId="10" fillId="0" borderId="26" xfId="0" applyNumberFormat="1" applyFont="1" applyFill="1" applyBorder="1" applyAlignment="1">
      <alignment wrapText="1"/>
    </xf>
    <xf numFmtId="181" fontId="10" fillId="0" borderId="26" xfId="553" applyNumberFormat="1" applyFont="1" applyFill="1" applyBorder="1" applyAlignment="1">
      <alignment vertical="center" wrapText="1"/>
    </xf>
    <xf numFmtId="181" fontId="26" fillId="0" borderId="26" xfId="553" applyNumberFormat="1" applyFont="1" applyFill="1" applyBorder="1" applyAlignment="1">
      <alignment vertical="center" wrapText="1"/>
    </xf>
    <xf numFmtId="183" fontId="26" fillId="0" borderId="26" xfId="0" applyNumberFormat="1" applyFont="1" applyFill="1" applyBorder="1" applyAlignment="1">
      <alignment wrapText="1"/>
    </xf>
    <xf numFmtId="181" fontId="50" fillId="0" borderId="26" xfId="553" applyNumberFormat="1" applyFont="1" applyFill="1" applyBorder="1" applyAlignment="1">
      <alignment/>
    </xf>
    <xf numFmtId="183" fontId="26" fillId="0" borderId="50" xfId="0" applyNumberFormat="1" applyFont="1" applyFill="1" applyBorder="1" applyAlignment="1">
      <alignment wrapText="1"/>
    </xf>
    <xf numFmtId="3" fontId="50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Alignment="1">
      <alignment/>
    </xf>
    <xf numFmtId="185" fontId="4" fillId="0" borderId="0" xfId="0" applyNumberFormat="1" applyFont="1" applyFill="1" applyAlignment="1">
      <alignment vertical="center"/>
    </xf>
    <xf numFmtId="0" fontId="2" fillId="0" borderId="26" xfId="0" applyFont="1" applyFill="1" applyBorder="1" applyAlignment="1">
      <alignment wrapText="1"/>
    </xf>
    <xf numFmtId="182" fontId="2" fillId="0" borderId="0" xfId="0" applyNumberFormat="1" applyFont="1" applyFill="1" applyAlignment="1">
      <alignment/>
    </xf>
    <xf numFmtId="49" fontId="2" fillId="0" borderId="26" xfId="0" applyNumberFormat="1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183" fontId="18" fillId="0" borderId="36" xfId="0" applyNumberFormat="1" applyFont="1" applyFill="1" applyBorder="1" applyAlignment="1">
      <alignment horizontal="right" vertical="top"/>
    </xf>
    <xf numFmtId="0" fontId="4" fillId="0" borderId="51" xfId="0" applyFont="1" applyBorder="1" applyAlignment="1">
      <alignment wrapText="1"/>
    </xf>
    <xf numFmtId="0" fontId="0" fillId="0" borderId="28" xfId="0" applyFill="1" applyBorder="1" applyAlignment="1">
      <alignment/>
    </xf>
    <xf numFmtId="0" fontId="25" fillId="0" borderId="0" xfId="0" applyFont="1" applyFill="1" applyAlignment="1">
      <alignment vertical="top"/>
    </xf>
    <xf numFmtId="185" fontId="28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/>
    </xf>
    <xf numFmtId="185" fontId="20" fillId="0" borderId="52" xfId="510" applyNumberFormat="1" applyFont="1" applyFill="1" applyBorder="1" applyAlignment="1">
      <alignment horizontal="center" vertical="center" wrapText="1"/>
      <protection/>
    </xf>
    <xf numFmtId="185" fontId="20" fillId="0" borderId="35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left" vertical="center" wrapText="1"/>
    </xf>
    <xf numFmtId="185" fontId="4" fillId="0" borderId="0" xfId="0" applyNumberFormat="1" applyFont="1" applyFill="1" applyAlignment="1">
      <alignment horizontal="left" vertical="top"/>
    </xf>
    <xf numFmtId="185" fontId="18" fillId="0" borderId="0" xfId="0" applyNumberFormat="1" applyFont="1" applyFill="1" applyAlignment="1">
      <alignment horizontal="right" vertical="top"/>
    </xf>
    <xf numFmtId="185" fontId="25" fillId="0" borderId="0" xfId="0" applyNumberFormat="1" applyFont="1" applyFill="1" applyAlignment="1">
      <alignment horizontal="center" vertical="top"/>
    </xf>
    <xf numFmtId="185" fontId="52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3" fontId="100" fillId="0" borderId="0" xfId="0" applyNumberFormat="1" applyFont="1" applyFill="1" applyAlignment="1">
      <alignment/>
    </xf>
    <xf numFmtId="3" fontId="100" fillId="0" borderId="0" xfId="0" applyNumberFormat="1" applyFont="1" applyFill="1" applyAlignment="1">
      <alignment/>
    </xf>
    <xf numFmtId="0" fontId="10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5" fontId="102" fillId="0" borderId="0" xfId="0" applyNumberFormat="1" applyFont="1" applyFill="1" applyAlignment="1">
      <alignment/>
    </xf>
    <xf numFmtId="0" fontId="5" fillId="0" borderId="53" xfId="0" applyFont="1" applyBorder="1" applyAlignment="1">
      <alignment horizontal="center" wrapText="1"/>
    </xf>
    <xf numFmtId="0" fontId="2" fillId="0" borderId="53" xfId="0" applyFont="1" applyBorder="1" applyAlignment="1">
      <alignment wrapText="1"/>
    </xf>
    <xf numFmtId="0" fontId="2" fillId="55" borderId="53" xfId="0" applyFont="1" applyFill="1" applyBorder="1" applyAlignment="1">
      <alignment wrapText="1"/>
    </xf>
    <xf numFmtId="0" fontId="2" fillId="0" borderId="53" xfId="0" applyFont="1" applyBorder="1" applyAlignment="1">
      <alignment vertical="center" wrapText="1"/>
    </xf>
    <xf numFmtId="0" fontId="5" fillId="0" borderId="27" xfId="0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9" fontId="18" fillId="0" borderId="43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>
      <alignment horizontal="center" vertical="center"/>
      <protection/>
    </xf>
    <xf numFmtId="49" fontId="18" fillId="0" borderId="45" xfId="508" applyNumberFormat="1" applyFont="1" applyFill="1" applyBorder="1" applyAlignment="1" applyProtection="1">
      <alignment horizontal="center" vertical="center"/>
      <protection locked="0"/>
    </xf>
    <xf numFmtId="49" fontId="18" fillId="0" borderId="44" xfId="508" applyNumberFormat="1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18" fillId="0" borderId="31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wrapText="1"/>
    </xf>
    <xf numFmtId="3" fontId="0" fillId="0" borderId="0" xfId="0" applyNumberFormat="1" applyAlignment="1">
      <alignment/>
    </xf>
    <xf numFmtId="181" fontId="0" fillId="0" borderId="0" xfId="553" applyNumberFormat="1" applyFont="1" applyAlignment="1">
      <alignment/>
    </xf>
    <xf numFmtId="0" fontId="26" fillId="0" borderId="55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3" fillId="0" borderId="0" xfId="0" applyFont="1" applyFill="1" applyBorder="1" applyAlignment="1">
      <alignment wrapText="1"/>
    </xf>
    <xf numFmtId="185" fontId="104" fillId="0" borderId="0" xfId="0" applyNumberFormat="1" applyFont="1" applyFill="1" applyBorder="1" applyAlignment="1">
      <alignment horizontal="right" vertical="top"/>
    </xf>
    <xf numFmtId="185" fontId="105" fillId="0" borderId="0" xfId="0" applyNumberFormat="1" applyFont="1" applyFill="1" applyAlignment="1">
      <alignment/>
    </xf>
    <xf numFmtId="183" fontId="26" fillId="0" borderId="56" xfId="0" applyNumberFormat="1" applyFont="1" applyFill="1" applyBorder="1" applyAlignment="1">
      <alignment wrapText="1"/>
    </xf>
    <xf numFmtId="183" fontId="10" fillId="0" borderId="56" xfId="0" applyNumberFormat="1" applyFont="1" applyFill="1" applyBorder="1" applyAlignment="1">
      <alignment wrapText="1"/>
    </xf>
    <xf numFmtId="181" fontId="26" fillId="0" borderId="56" xfId="553" applyNumberFormat="1" applyFont="1" applyFill="1" applyBorder="1" applyAlignment="1">
      <alignment vertical="center" wrapText="1"/>
    </xf>
    <xf numFmtId="181" fontId="50" fillId="0" borderId="56" xfId="553" applyNumberFormat="1" applyFont="1" applyFill="1" applyBorder="1" applyAlignment="1">
      <alignment/>
    </xf>
    <xf numFmtId="183" fontId="26" fillId="0" borderId="57" xfId="0" applyNumberFormat="1" applyFont="1" applyFill="1" applyBorder="1" applyAlignment="1">
      <alignment wrapText="1"/>
    </xf>
    <xf numFmtId="0" fontId="83" fillId="0" borderId="0" xfId="0" applyFont="1" applyAlignment="1">
      <alignment/>
    </xf>
    <xf numFmtId="183" fontId="83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3" fontId="106" fillId="0" borderId="0" xfId="0" applyNumberFormat="1" applyFont="1" applyFill="1" applyAlignment="1">
      <alignment horizontal="right"/>
    </xf>
    <xf numFmtId="0" fontId="21" fillId="0" borderId="26" xfId="0" applyFont="1" applyBorder="1" applyAlignment="1">
      <alignment horizontal="left" wrapText="1"/>
    </xf>
    <xf numFmtId="0" fontId="24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182" fontId="100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2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4" fillId="0" borderId="26" xfId="0" applyFont="1" applyBorder="1" applyAlignment="1">
      <alignment vertical="center" wrapText="1"/>
    </xf>
    <xf numFmtId="0" fontId="107" fillId="0" borderId="26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24" fillId="0" borderId="50" xfId="0" applyFont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183" fontId="10" fillId="56" borderId="26" xfId="0" applyNumberFormat="1" applyFont="1" applyFill="1" applyBorder="1" applyAlignment="1">
      <alignment wrapText="1"/>
    </xf>
    <xf numFmtId="183" fontId="9" fillId="0" borderId="0" xfId="553" applyNumberFormat="1" applyFont="1" applyFill="1" applyBorder="1" applyAlignment="1">
      <alignment vertical="center" wrapText="1"/>
    </xf>
    <xf numFmtId="183" fontId="10" fillId="57" borderId="56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right" wrapText="1"/>
    </xf>
    <xf numFmtId="0" fontId="5" fillId="0" borderId="53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wrapText="1"/>
    </xf>
    <xf numFmtId="183" fontId="9" fillId="0" borderId="6" xfId="0" applyNumberFormat="1" applyFont="1" applyFill="1" applyBorder="1" applyAlignment="1">
      <alignment vertical="center"/>
    </xf>
    <xf numFmtId="183" fontId="9" fillId="0" borderId="61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5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85" fontId="18" fillId="0" borderId="0" xfId="508" applyNumberFormat="1" applyFont="1" applyFill="1" applyAlignment="1">
      <alignment horizontal="left" vertical="top" wrapText="1"/>
      <protection/>
    </xf>
    <xf numFmtId="0" fontId="24" fillId="0" borderId="6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181" fontId="24" fillId="0" borderId="6" xfId="0" applyNumberFormat="1" applyFont="1" applyFill="1" applyBorder="1" applyAlignment="1">
      <alignment vertical="center" wrapText="1"/>
    </xf>
    <xf numFmtId="183" fontId="10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185" fontId="20" fillId="0" borderId="45" xfId="0" applyNumberFormat="1" applyFont="1" applyFill="1" applyBorder="1" applyAlignment="1">
      <alignment horizontal="right" vertical="top"/>
    </xf>
    <xf numFmtId="0" fontId="18" fillId="0" borderId="42" xfId="0" applyFont="1" applyFill="1" applyBorder="1" applyAlignment="1">
      <alignment/>
    </xf>
    <xf numFmtId="185" fontId="72" fillId="0" borderId="0" xfId="0" applyNumberFormat="1" applyFont="1" applyFill="1" applyAlignment="1">
      <alignment/>
    </xf>
    <xf numFmtId="185" fontId="73" fillId="0" borderId="0" xfId="0" applyNumberFormat="1" applyFont="1" applyFill="1" applyAlignment="1">
      <alignment/>
    </xf>
    <xf numFmtId="182" fontId="2" fillId="0" borderId="26" xfId="0" applyNumberFormat="1" applyFont="1" applyFill="1" applyBorder="1" applyAlignment="1">
      <alignment horizontal="right" wrapText="1" indent="1"/>
    </xf>
    <xf numFmtId="182" fontId="2" fillId="0" borderId="46" xfId="0" applyNumberFormat="1" applyFont="1" applyFill="1" applyBorder="1" applyAlignment="1">
      <alignment horizontal="right" wrapText="1" indent="1"/>
    </xf>
    <xf numFmtId="182" fontId="2" fillId="0" borderId="50" xfId="0" applyNumberFormat="1" applyFont="1" applyFill="1" applyBorder="1" applyAlignment="1">
      <alignment horizontal="right" wrapText="1" indent="1"/>
    </xf>
    <xf numFmtId="183" fontId="2" fillId="0" borderId="26" xfId="0" applyNumberFormat="1" applyFont="1" applyFill="1" applyBorder="1" applyAlignment="1">
      <alignment horizontal="right" wrapText="1" indent="1"/>
    </xf>
    <xf numFmtId="183" fontId="4" fillId="0" borderId="27" xfId="553" applyNumberFormat="1" applyFont="1" applyFill="1" applyBorder="1" applyAlignment="1">
      <alignment vertical="center" wrapText="1"/>
    </xf>
    <xf numFmtId="183" fontId="9" fillId="0" borderId="53" xfId="553" applyNumberFormat="1" applyFont="1" applyFill="1" applyBorder="1" applyAlignment="1">
      <alignment vertical="center" wrapText="1"/>
    </xf>
    <xf numFmtId="183" fontId="4" fillId="0" borderId="27" xfId="553" applyNumberFormat="1" applyFont="1" applyFill="1" applyBorder="1" applyAlignment="1">
      <alignment vertical="center"/>
    </xf>
    <xf numFmtId="183" fontId="4" fillId="0" borderId="26" xfId="0" applyNumberFormat="1" applyFont="1" applyFill="1" applyBorder="1" applyAlignment="1">
      <alignment horizontal="right" wrapText="1"/>
    </xf>
    <xf numFmtId="183" fontId="4" fillId="0" borderId="27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83" fontId="9" fillId="0" borderId="6" xfId="1236" applyNumberFormat="1" applyFont="1" applyFill="1" applyBorder="1" applyAlignment="1">
      <alignment vertical="center" wrapText="1"/>
    </xf>
    <xf numFmtId="183" fontId="9" fillId="0" borderId="61" xfId="553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wrapText="1"/>
    </xf>
    <xf numFmtId="0" fontId="108" fillId="0" borderId="0" xfId="0" applyFont="1" applyFill="1" applyBorder="1" applyAlignment="1">
      <alignment/>
    </xf>
    <xf numFmtId="185" fontId="29" fillId="0" borderId="32" xfId="0" applyNumberFormat="1" applyFont="1" applyFill="1" applyBorder="1" applyAlignment="1">
      <alignment horizontal="right" vertical="top"/>
    </xf>
    <xf numFmtId="185" fontId="18" fillId="0" borderId="35" xfId="0" applyNumberFormat="1" applyFont="1" applyFill="1" applyBorder="1" applyAlignment="1">
      <alignment horizontal="right" vertical="top"/>
    </xf>
    <xf numFmtId="181" fontId="24" fillId="0" borderId="26" xfId="0" applyNumberFormat="1" applyFont="1" applyFill="1" applyBorder="1" applyAlignment="1">
      <alignment vertical="center" wrapText="1"/>
    </xf>
    <xf numFmtId="181" fontId="23" fillId="0" borderId="6" xfId="0" applyNumberFormat="1" applyFont="1" applyFill="1" applyBorder="1" applyAlignment="1">
      <alignment vertical="center"/>
    </xf>
    <xf numFmtId="181" fontId="23" fillId="0" borderId="26" xfId="0" applyNumberFormat="1" applyFont="1" applyFill="1" applyBorder="1" applyAlignment="1">
      <alignment vertical="center"/>
    </xf>
    <xf numFmtId="181" fontId="23" fillId="0" borderId="6" xfId="0" applyNumberFormat="1" applyFont="1" applyFill="1" applyBorder="1" applyAlignment="1">
      <alignment vertical="center" wrapText="1"/>
    </xf>
    <xf numFmtId="181" fontId="23" fillId="0" borderId="26" xfId="0" applyNumberFormat="1" applyFont="1" applyFill="1" applyBorder="1" applyAlignment="1">
      <alignment vertical="center" wrapText="1"/>
    </xf>
    <xf numFmtId="183" fontId="10" fillId="0" borderId="26" xfId="0" applyNumberFormat="1" applyFont="1" applyFill="1" applyBorder="1" applyAlignment="1">
      <alignment vertical="top" wrapText="1"/>
    </xf>
    <xf numFmtId="183" fontId="2" fillId="0" borderId="53" xfId="0" applyNumberFormat="1" applyFont="1" applyFill="1" applyBorder="1" applyAlignment="1">
      <alignment vertical="center" wrapText="1"/>
    </xf>
    <xf numFmtId="183" fontId="2" fillId="0" borderId="59" xfId="0" applyNumberFormat="1" applyFont="1" applyFill="1" applyBorder="1" applyAlignment="1">
      <alignment vertical="center" wrapText="1"/>
    </xf>
    <xf numFmtId="0" fontId="2" fillId="0" borderId="63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183" fontId="9" fillId="0" borderId="26" xfId="0" applyNumberFormat="1" applyFont="1" applyFill="1" applyBorder="1" applyAlignment="1">
      <alignment vertical="center"/>
    </xf>
    <xf numFmtId="183" fontId="9" fillId="0" borderId="53" xfId="0" applyNumberFormat="1" applyFont="1" applyFill="1" applyBorder="1" applyAlignment="1">
      <alignment vertical="center" wrapText="1"/>
    </xf>
    <xf numFmtId="0" fontId="21" fillId="0" borderId="26" xfId="0" applyFont="1" applyFill="1" applyBorder="1" applyAlignment="1">
      <alignment wrapText="1"/>
    </xf>
    <xf numFmtId="183" fontId="9" fillId="0" borderId="26" xfId="1236" applyNumberFormat="1" applyFont="1" applyFill="1" applyBorder="1" applyAlignment="1">
      <alignment vertical="center" wrapText="1"/>
    </xf>
    <xf numFmtId="183" fontId="5" fillId="0" borderId="27" xfId="553" applyNumberFormat="1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 vertical="top"/>
    </xf>
    <xf numFmtId="185" fontId="20" fillId="0" borderId="64" xfId="0" applyNumberFormat="1" applyFont="1" applyFill="1" applyBorder="1" applyAlignment="1">
      <alignment horizontal="right" vertical="top"/>
    </xf>
    <xf numFmtId="185" fontId="20" fillId="0" borderId="65" xfId="0" applyNumberFormat="1" applyFont="1" applyFill="1" applyBorder="1" applyAlignment="1">
      <alignment horizontal="right" vertical="top"/>
    </xf>
    <xf numFmtId="185" fontId="20" fillId="0" borderId="66" xfId="0" applyNumberFormat="1" applyFont="1" applyFill="1" applyBorder="1" applyAlignment="1">
      <alignment horizontal="right" vertical="top"/>
    </xf>
    <xf numFmtId="183" fontId="4" fillId="0" borderId="53" xfId="0" applyNumberFormat="1" applyFont="1" applyFill="1" applyBorder="1" applyAlignment="1">
      <alignment wrapText="1"/>
    </xf>
    <xf numFmtId="183" fontId="5" fillId="0" borderId="53" xfId="553" applyNumberFormat="1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0" fontId="7" fillId="0" borderId="29" xfId="0" applyFont="1" applyFill="1" applyBorder="1" applyAlignment="1">
      <alignment horizontal="center" wrapText="1"/>
    </xf>
    <xf numFmtId="0" fontId="0" fillId="0" borderId="67" xfId="0" applyFill="1" applyBorder="1" applyAlignment="1">
      <alignment/>
    </xf>
    <xf numFmtId="182" fontId="2" fillId="0" borderId="68" xfId="0" applyNumberFormat="1" applyFont="1" applyFill="1" applyBorder="1" applyAlignment="1">
      <alignment horizontal="right" wrapText="1" indent="1"/>
    </xf>
    <xf numFmtId="181" fontId="2" fillId="0" borderId="68" xfId="0" applyNumberFormat="1" applyFont="1" applyFill="1" applyBorder="1" applyAlignment="1">
      <alignment horizontal="right" wrapText="1" indent="1"/>
    </xf>
    <xf numFmtId="183" fontId="2" fillId="0" borderId="26" xfId="298" applyNumberFormat="1" applyFont="1" applyFill="1" applyBorder="1" applyAlignment="1">
      <alignment horizontal="right" wrapText="1" indent="1"/>
      <protection/>
    </xf>
    <xf numFmtId="183" fontId="2" fillId="0" borderId="68" xfId="298" applyNumberFormat="1" applyFont="1" applyFill="1" applyBorder="1" applyAlignment="1">
      <alignment horizontal="right" wrapText="1" indent="1"/>
      <protection/>
    </xf>
    <xf numFmtId="183" fontId="2" fillId="0" borderId="68" xfId="0" applyNumberFormat="1" applyFont="1" applyFill="1" applyBorder="1" applyAlignment="1">
      <alignment horizontal="right" wrapText="1" indent="1"/>
    </xf>
    <xf numFmtId="181" fontId="2" fillId="0" borderId="68" xfId="553" applyNumberFormat="1" applyFont="1" applyFill="1" applyBorder="1" applyAlignment="1">
      <alignment horizontal="right" wrapText="1" indent="1"/>
    </xf>
    <xf numFmtId="182" fontId="2" fillId="0" borderId="69" xfId="0" applyNumberFormat="1" applyFont="1" applyFill="1" applyBorder="1" applyAlignment="1">
      <alignment horizontal="right" wrapText="1" indent="1"/>
    </xf>
    <xf numFmtId="183" fontId="9" fillId="0" borderId="53" xfId="1236" applyNumberFormat="1" applyFont="1" applyFill="1" applyBorder="1" applyAlignment="1">
      <alignment vertical="center" wrapText="1"/>
    </xf>
    <xf numFmtId="183" fontId="9" fillId="0" borderId="59" xfId="1236" applyNumberFormat="1" applyFont="1" applyFill="1" applyBorder="1" applyAlignment="1">
      <alignment vertical="center" wrapText="1"/>
    </xf>
    <xf numFmtId="183" fontId="9" fillId="0" borderId="50" xfId="1236" applyNumberFormat="1" applyFont="1" applyFill="1" applyBorder="1" applyAlignment="1">
      <alignment vertical="center" wrapText="1"/>
    </xf>
    <xf numFmtId="183" fontId="9" fillId="0" borderId="57" xfId="1236" applyNumberFormat="1" applyFont="1" applyFill="1" applyBorder="1" applyAlignment="1">
      <alignment vertical="center" wrapText="1"/>
    </xf>
    <xf numFmtId="185" fontId="109" fillId="0" borderId="0" xfId="0" applyNumberFormat="1" applyFont="1" applyFill="1" applyBorder="1" applyAlignment="1">
      <alignment horizontal="right" vertical="top"/>
    </xf>
    <xf numFmtId="0" fontId="110" fillId="0" borderId="0" xfId="0" applyFont="1" applyFill="1" applyAlignment="1">
      <alignment horizontal="right"/>
    </xf>
    <xf numFmtId="0" fontId="111" fillId="0" borderId="0" xfId="0" applyFont="1" applyFill="1" applyAlignment="1">
      <alignment horizontal="right"/>
    </xf>
    <xf numFmtId="185" fontId="108" fillId="0" borderId="0" xfId="508" applyNumberFormat="1" applyFont="1" applyFill="1" applyAlignment="1">
      <alignment horizontal="right" vertical="top"/>
      <protection/>
    </xf>
    <xf numFmtId="0" fontId="4" fillId="0" borderId="29" xfId="0" applyFont="1" applyFill="1" applyBorder="1" applyAlignment="1">
      <alignment wrapText="1"/>
    </xf>
    <xf numFmtId="0" fontId="4" fillId="0" borderId="70" xfId="0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 horizontal="center" wrapText="1"/>
    </xf>
    <xf numFmtId="0" fontId="1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8" fillId="0" borderId="0" xfId="0" applyFont="1" applyFill="1" applyAlignment="1">
      <alignment horizontal="center"/>
    </xf>
    <xf numFmtId="0" fontId="102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85" fontId="18" fillId="0" borderId="0" xfId="508" applyNumberFormat="1" applyFont="1" applyAlignment="1">
      <alignment horizontal="left" vertical="top" wrapText="1"/>
      <protection/>
    </xf>
    <xf numFmtId="185" fontId="108" fillId="55" borderId="0" xfId="509" applyNumberFormat="1" applyFont="1" applyFill="1" applyAlignment="1">
      <alignment horizontal="center" vertical="top" wrapText="1"/>
      <protection/>
    </xf>
    <xf numFmtId="185" fontId="20" fillId="55" borderId="0" xfId="509" applyNumberFormat="1" applyFont="1" applyFill="1" applyAlignment="1">
      <alignment horizontal="center" vertical="top" wrapText="1"/>
      <protection/>
    </xf>
    <xf numFmtId="185" fontId="20" fillId="55" borderId="0" xfId="508" applyNumberFormat="1" applyFont="1" applyFill="1" applyAlignment="1">
      <alignment horizontal="center" vertical="top" wrapText="1"/>
      <protection/>
    </xf>
    <xf numFmtId="185" fontId="20" fillId="55" borderId="0" xfId="509" applyNumberFormat="1" applyFont="1" applyFill="1" applyAlignment="1">
      <alignment horizontal="center" vertical="top"/>
      <protection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79"/>
  <sheetViews>
    <sheetView zoomScalePageLayoutView="0" workbookViewId="0" topLeftCell="A36">
      <selection activeCell="B57" sqref="B57"/>
    </sheetView>
  </sheetViews>
  <sheetFormatPr defaultColWidth="9.140625" defaultRowHeight="15"/>
  <cols>
    <col min="1" max="1" width="92.140625" style="2" customWidth="1"/>
    <col min="2" max="2" width="23.8515625" style="17" customWidth="1"/>
    <col min="3" max="3" width="22.7109375" style="1" customWidth="1"/>
    <col min="4" max="4" width="18.7109375" style="2" customWidth="1"/>
    <col min="5" max="5" width="19.57421875" style="2" customWidth="1"/>
    <col min="6" max="6" width="21.00390625" style="2" customWidth="1"/>
    <col min="7" max="7" width="14.00390625" style="2" customWidth="1"/>
    <col min="8" max="8" width="12.140625" style="2" bestFit="1" customWidth="1"/>
    <col min="9" max="16384" width="9.140625" style="2" customWidth="1"/>
  </cols>
  <sheetData>
    <row r="1" spans="1:3" ht="18.75">
      <c r="A1" s="65" t="s">
        <v>98</v>
      </c>
      <c r="B1" s="268" t="s">
        <v>118</v>
      </c>
      <c r="C1" s="283"/>
    </row>
    <row r="2" ht="18.75">
      <c r="A2" s="66" t="s">
        <v>99</v>
      </c>
    </row>
    <row r="3" ht="18.75">
      <c r="A3" s="66" t="s">
        <v>100</v>
      </c>
    </row>
    <row r="4" ht="18.75">
      <c r="A4" s="66" t="s">
        <v>101</v>
      </c>
    </row>
    <row r="5" ht="18.75" customHeight="1">
      <c r="A5" s="67" t="s">
        <v>102</v>
      </c>
    </row>
    <row r="7" spans="1:3" ht="18.75">
      <c r="A7" s="289" t="s">
        <v>0</v>
      </c>
      <c r="B7" s="289"/>
      <c r="C7" s="289"/>
    </row>
    <row r="8" spans="1:3" ht="18.75">
      <c r="A8" s="289" t="s">
        <v>1</v>
      </c>
      <c r="B8" s="289"/>
      <c r="C8" s="289"/>
    </row>
    <row r="9" spans="1:5" ht="18.75">
      <c r="A9" s="289" t="s">
        <v>68</v>
      </c>
      <c r="B9" s="289"/>
      <c r="C9" s="289"/>
      <c r="D9" s="189"/>
      <c r="E9" s="189"/>
    </row>
    <row r="10" spans="1:3" ht="18.75">
      <c r="A10" s="289" t="s">
        <v>198</v>
      </c>
      <c r="B10" s="289"/>
      <c r="C10" s="289"/>
    </row>
    <row r="11" spans="1:3" ht="18.75">
      <c r="A11" s="290" t="s">
        <v>173</v>
      </c>
      <c r="B11" s="290"/>
      <c r="C11" s="290"/>
    </row>
    <row r="12" ht="19.5" thickBot="1">
      <c r="C12" s="195" t="s">
        <v>148</v>
      </c>
    </row>
    <row r="13" spans="1:3" ht="18.75" customHeight="1" thickBot="1">
      <c r="A13" s="3"/>
      <c r="B13" s="269" t="s">
        <v>199</v>
      </c>
      <c r="C13" s="243" t="s">
        <v>196</v>
      </c>
    </row>
    <row r="14" spans="1:3" ht="18.75">
      <c r="A14" s="4" t="s">
        <v>2</v>
      </c>
      <c r="B14" s="270"/>
      <c r="C14" s="127"/>
    </row>
    <row r="15" spans="1:3" s="1" customFormat="1" ht="18.75">
      <c r="A15" s="115" t="s">
        <v>3</v>
      </c>
      <c r="B15" s="271">
        <v>249106</v>
      </c>
      <c r="C15" s="231">
        <v>131338</v>
      </c>
    </row>
    <row r="16" spans="1:6" s="1" customFormat="1" ht="18.75">
      <c r="A16" s="115" t="s">
        <v>4</v>
      </c>
      <c r="B16" s="271">
        <v>3067</v>
      </c>
      <c r="C16" s="231">
        <v>5222</v>
      </c>
      <c r="D16" s="116"/>
      <c r="F16" s="116"/>
    </row>
    <row r="17" spans="1:3" s="1" customFormat="1" ht="37.5">
      <c r="A17" s="115" t="s">
        <v>119</v>
      </c>
      <c r="B17" s="271"/>
      <c r="C17" s="231"/>
    </row>
    <row r="18" spans="1:4" s="1" customFormat="1" ht="18.75">
      <c r="A18" s="117" t="s">
        <v>5</v>
      </c>
      <c r="B18" s="271">
        <v>25082</v>
      </c>
      <c r="C18" s="231">
        <v>23543</v>
      </c>
      <c r="D18" s="116"/>
    </row>
    <row r="19" spans="1:4" s="1" customFormat="1" ht="18.75">
      <c r="A19" s="117" t="s">
        <v>120</v>
      </c>
      <c r="B19" s="272">
        <v>431</v>
      </c>
      <c r="C19" s="68">
        <v>0</v>
      </c>
      <c r="D19" s="17"/>
    </row>
    <row r="20" spans="1:9" s="1" customFormat="1" ht="18.75">
      <c r="A20" s="115" t="s">
        <v>6</v>
      </c>
      <c r="B20" s="271"/>
      <c r="C20" s="231"/>
      <c r="D20" s="17"/>
      <c r="E20" s="17"/>
      <c r="F20" s="17"/>
      <c r="G20" s="17"/>
      <c r="H20" s="17"/>
      <c r="I20" s="17"/>
    </row>
    <row r="21" spans="1:9" s="1" customFormat="1" ht="18.75">
      <c r="A21" s="117" t="s">
        <v>5</v>
      </c>
      <c r="B21" s="271">
        <v>6178</v>
      </c>
      <c r="C21" s="231">
        <v>29386</v>
      </c>
      <c r="D21" s="116"/>
      <c r="E21" s="17"/>
      <c r="F21" s="17"/>
      <c r="G21" s="17"/>
      <c r="H21" s="17"/>
      <c r="I21" s="17"/>
    </row>
    <row r="22" spans="1:9" s="1" customFormat="1" ht="18.75">
      <c r="A22" s="117" t="s">
        <v>120</v>
      </c>
      <c r="B22" s="272">
        <v>35658</v>
      </c>
      <c r="C22" s="68">
        <v>33362</v>
      </c>
      <c r="D22" s="17"/>
      <c r="E22" s="17"/>
      <c r="F22" s="124"/>
      <c r="G22" s="17"/>
      <c r="H22" s="17"/>
      <c r="I22" s="17"/>
    </row>
    <row r="23" spans="1:9" s="1" customFormat="1" ht="18.75">
      <c r="A23" s="115" t="s">
        <v>7</v>
      </c>
      <c r="B23" s="271">
        <v>1413854</v>
      </c>
      <c r="C23" s="231">
        <v>1808797</v>
      </c>
      <c r="D23" s="116"/>
      <c r="E23" s="17"/>
      <c r="F23" s="17"/>
      <c r="G23" s="17"/>
      <c r="H23" s="17"/>
      <c r="I23" s="17"/>
    </row>
    <row r="24" spans="1:9" s="1" customFormat="1" ht="18.75">
      <c r="A24" s="115" t="s">
        <v>8</v>
      </c>
      <c r="B24" s="271"/>
      <c r="C24" s="68"/>
      <c r="D24" s="17"/>
      <c r="E24" s="17"/>
      <c r="F24" s="17"/>
      <c r="G24" s="17"/>
      <c r="H24" s="17"/>
      <c r="I24" s="17"/>
    </row>
    <row r="25" spans="1:9" s="1" customFormat="1" ht="18.75">
      <c r="A25" s="117" t="s">
        <v>5</v>
      </c>
      <c r="B25" s="271">
        <v>53031</v>
      </c>
      <c r="C25" s="231">
        <v>70534</v>
      </c>
      <c r="D25" s="116"/>
      <c r="E25" s="17"/>
      <c r="F25" s="17"/>
      <c r="G25" s="17"/>
      <c r="H25" s="17"/>
      <c r="I25" s="17"/>
    </row>
    <row r="26" spans="1:9" s="1" customFormat="1" ht="18.75">
      <c r="A26" s="117" t="s">
        <v>120</v>
      </c>
      <c r="B26" s="273">
        <v>47686</v>
      </c>
      <c r="C26" s="68">
        <v>18139</v>
      </c>
      <c r="D26" s="17"/>
      <c r="E26" s="17"/>
      <c r="F26" s="124"/>
      <c r="G26" s="17"/>
      <c r="H26" s="17"/>
      <c r="I26" s="17"/>
    </row>
    <row r="27" spans="1:9" s="1" customFormat="1" ht="18.75">
      <c r="A27" s="117" t="s">
        <v>169</v>
      </c>
      <c r="B27" s="274">
        <v>0</v>
      </c>
      <c r="C27" s="68">
        <v>23718</v>
      </c>
      <c r="D27" s="17"/>
      <c r="E27" s="17"/>
      <c r="F27" s="124"/>
      <c r="G27" s="17"/>
      <c r="H27" s="17"/>
      <c r="I27" s="17"/>
    </row>
    <row r="28" spans="1:9" s="1" customFormat="1" ht="18.75">
      <c r="A28" s="117" t="s">
        <v>77</v>
      </c>
      <c r="B28" s="271">
        <v>33327</v>
      </c>
      <c r="C28" s="231">
        <v>45290</v>
      </c>
      <c r="D28" s="116"/>
      <c r="E28" s="17"/>
      <c r="F28" s="17"/>
      <c r="G28" s="17"/>
      <c r="H28" s="17"/>
      <c r="I28" s="17"/>
    </row>
    <row r="29" spans="1:3" s="1" customFormat="1" ht="18.75">
      <c r="A29" s="115" t="s">
        <v>9</v>
      </c>
      <c r="B29" s="271">
        <v>58948</v>
      </c>
      <c r="C29" s="231">
        <v>47928</v>
      </c>
    </row>
    <row r="30" spans="1:3" s="1" customFormat="1" ht="18.75">
      <c r="A30" s="115" t="s">
        <v>10</v>
      </c>
      <c r="B30" s="271">
        <v>14742</v>
      </c>
      <c r="C30" s="68">
        <v>14290</v>
      </c>
    </row>
    <row r="31" spans="1:4" s="1" customFormat="1" ht="18.75">
      <c r="A31" s="118" t="s">
        <v>104</v>
      </c>
      <c r="B31" s="271">
        <v>2155</v>
      </c>
      <c r="C31" s="232">
        <v>2759</v>
      </c>
      <c r="D31" s="116"/>
    </row>
    <row r="32" spans="1:3" s="1" customFormat="1" ht="18.75">
      <c r="A32" s="115" t="s">
        <v>103</v>
      </c>
      <c r="B32" s="271">
        <v>3293</v>
      </c>
      <c r="C32" s="68">
        <v>18120</v>
      </c>
    </row>
    <row r="33" spans="1:4" s="1" customFormat="1" ht="18.75">
      <c r="A33" s="115" t="s">
        <v>11</v>
      </c>
      <c r="B33" s="271">
        <v>2849</v>
      </c>
      <c r="C33" s="231">
        <v>2646</v>
      </c>
      <c r="D33" s="17"/>
    </row>
    <row r="34" spans="1:3" s="1" customFormat="1" ht="18.75">
      <c r="A34" s="115" t="s">
        <v>134</v>
      </c>
      <c r="B34" s="271">
        <v>1471</v>
      </c>
      <c r="C34" s="231">
        <v>669</v>
      </c>
    </row>
    <row r="35" spans="1:4" s="1" customFormat="1" ht="19.5" thickBot="1">
      <c r="A35" s="119" t="s">
        <v>12</v>
      </c>
      <c r="B35" s="271">
        <v>179099</v>
      </c>
      <c r="C35" s="233">
        <v>15369</v>
      </c>
      <c r="D35" s="116"/>
    </row>
    <row r="36" spans="1:3" s="1" customFormat="1" ht="19.5" thickBot="1">
      <c r="A36" s="120" t="s">
        <v>121</v>
      </c>
      <c r="B36" s="6">
        <f>SUM(B15:B35)</f>
        <v>2129977</v>
      </c>
      <c r="C36" s="6">
        <f>SUM(C15:C35)</f>
        <v>2291110</v>
      </c>
    </row>
    <row r="37" spans="1:3" ht="19.5" thickBot="1">
      <c r="A37" s="9" t="s">
        <v>13</v>
      </c>
      <c r="B37" s="69"/>
      <c r="C37" s="69"/>
    </row>
    <row r="38" spans="1:7" ht="18.75">
      <c r="A38" s="70" t="s">
        <v>105</v>
      </c>
      <c r="B38" s="271">
        <v>26620</v>
      </c>
      <c r="C38" s="68">
        <v>30691</v>
      </c>
      <c r="D38" s="83"/>
      <c r="G38" s="8"/>
    </row>
    <row r="39" spans="1:7" ht="18.75">
      <c r="A39" s="5" t="s">
        <v>14</v>
      </c>
      <c r="B39" s="271">
        <v>307385</v>
      </c>
      <c r="C39" s="231">
        <v>108278</v>
      </c>
      <c r="D39" s="83"/>
      <c r="E39" s="8"/>
      <c r="G39" s="8"/>
    </row>
    <row r="40" spans="1:7" ht="37.5">
      <c r="A40" s="5" t="s">
        <v>119</v>
      </c>
      <c r="B40" s="271">
        <v>18555</v>
      </c>
      <c r="C40" s="231">
        <v>14041</v>
      </c>
      <c r="D40" s="83"/>
      <c r="G40" s="8"/>
    </row>
    <row r="41" spans="1:7" ht="18.75">
      <c r="A41" s="5" t="s">
        <v>15</v>
      </c>
      <c r="B41" s="271">
        <v>1285568</v>
      </c>
      <c r="C41" s="231">
        <v>1683704</v>
      </c>
      <c r="D41" s="83"/>
      <c r="G41" s="8"/>
    </row>
    <row r="42" spans="1:7" ht="18.75">
      <c r="A42" s="5" t="s">
        <v>27</v>
      </c>
      <c r="B42" s="271">
        <v>38310</v>
      </c>
      <c r="C42" s="231">
        <v>25240</v>
      </c>
      <c r="D42" s="83"/>
      <c r="G42" s="8"/>
    </row>
    <row r="43" spans="1:7" ht="18.75">
      <c r="A43" s="5" t="s">
        <v>16</v>
      </c>
      <c r="B43" s="271">
        <v>88680</v>
      </c>
      <c r="C43" s="231">
        <v>93705</v>
      </c>
      <c r="D43" s="83"/>
      <c r="G43" s="8"/>
    </row>
    <row r="44" spans="1:7" ht="18.75">
      <c r="A44" s="62" t="s">
        <v>138</v>
      </c>
      <c r="B44" s="271">
        <v>113671</v>
      </c>
      <c r="C44" s="68">
        <v>83636</v>
      </c>
      <c r="D44" s="83"/>
      <c r="G44" s="8"/>
    </row>
    <row r="45" spans="1:7" ht="18.75">
      <c r="A45" s="62" t="s">
        <v>122</v>
      </c>
      <c r="B45" s="271">
        <v>4601</v>
      </c>
      <c r="C45" s="68">
        <v>5494</v>
      </c>
      <c r="D45" s="83"/>
      <c r="G45" s="8"/>
    </row>
    <row r="46" spans="1:7" ht="18.75">
      <c r="A46" s="71" t="s">
        <v>135</v>
      </c>
      <c r="B46" s="271">
        <v>13532</v>
      </c>
      <c r="C46" s="68">
        <v>16721</v>
      </c>
      <c r="D46" s="83"/>
      <c r="G46" s="8"/>
    </row>
    <row r="47" spans="1:7" ht="18.75">
      <c r="A47" s="62" t="s">
        <v>65</v>
      </c>
      <c r="B47" s="68">
        <v>7</v>
      </c>
      <c r="C47" s="68">
        <v>0</v>
      </c>
      <c r="D47" s="83"/>
      <c r="G47" s="8"/>
    </row>
    <row r="48" spans="1:7" ht="18.75" customHeight="1" thickBot="1">
      <c r="A48" s="72" t="s">
        <v>17</v>
      </c>
      <c r="B48" s="271">
        <v>8387</v>
      </c>
      <c r="C48" s="231">
        <v>7698</v>
      </c>
      <c r="D48" s="83"/>
      <c r="G48" s="8"/>
    </row>
    <row r="49" spans="1:3" ht="18.75" customHeight="1" thickBot="1">
      <c r="A49" s="9" t="s">
        <v>123</v>
      </c>
      <c r="B49" s="6">
        <f>SUM(B38:B48)</f>
        <v>1905316</v>
      </c>
      <c r="C49" s="6">
        <f>SUM(C38:C48)</f>
        <v>2069208</v>
      </c>
    </row>
    <row r="50" spans="1:3" ht="18.75">
      <c r="A50" s="4" t="s">
        <v>18</v>
      </c>
      <c r="B50" s="7"/>
      <c r="C50" s="7"/>
    </row>
    <row r="51" spans="1:5" ht="18.75">
      <c r="A51" s="5" t="s">
        <v>19</v>
      </c>
      <c r="B51" s="271">
        <v>128266</v>
      </c>
      <c r="C51" s="231">
        <v>93017</v>
      </c>
      <c r="D51" s="8"/>
      <c r="E51" s="8"/>
    </row>
    <row r="52" spans="1:6" ht="18.75">
      <c r="A52" s="5" t="s">
        <v>20</v>
      </c>
      <c r="B52" s="271">
        <v>234</v>
      </c>
      <c r="C52" s="231">
        <v>234</v>
      </c>
      <c r="D52" s="8"/>
      <c r="E52" s="8"/>
      <c r="F52" s="8"/>
    </row>
    <row r="53" spans="1:6" ht="36.75" customHeight="1">
      <c r="A53" s="5" t="s">
        <v>21</v>
      </c>
      <c r="B53" s="234">
        <v>-197</v>
      </c>
      <c r="C53" s="234">
        <v>-376</v>
      </c>
      <c r="D53" s="8"/>
      <c r="E53" s="8"/>
      <c r="F53" s="8"/>
    </row>
    <row r="54" spans="1:6" ht="42.75" customHeight="1">
      <c r="A54" s="5" t="s">
        <v>178</v>
      </c>
      <c r="B54" s="275">
        <v>94</v>
      </c>
      <c r="C54" s="68">
        <v>0</v>
      </c>
      <c r="D54" s="8"/>
      <c r="E54" s="8"/>
      <c r="F54" s="8"/>
    </row>
    <row r="55" spans="1:6" ht="54" customHeight="1" hidden="1">
      <c r="A55" s="5" t="s">
        <v>176</v>
      </c>
      <c r="B55" s="275">
        <v>0</v>
      </c>
      <c r="C55" s="68">
        <v>0</v>
      </c>
      <c r="D55" s="8"/>
      <c r="E55" s="8"/>
      <c r="F55" s="8"/>
    </row>
    <row r="56" spans="1:6" ht="39.75" customHeight="1" hidden="1">
      <c r="A56" s="5" t="s">
        <v>177</v>
      </c>
      <c r="B56" s="275">
        <v>0</v>
      </c>
      <c r="C56" s="68">
        <v>0</v>
      </c>
      <c r="D56" s="8"/>
      <c r="E56" s="8"/>
      <c r="F56" s="8"/>
    </row>
    <row r="57" spans="1:5" ht="18.75">
      <c r="A57" s="5" t="s">
        <v>140</v>
      </c>
      <c r="B57" s="276">
        <v>1532</v>
      </c>
      <c r="C57" s="68">
        <v>2242</v>
      </c>
      <c r="D57" s="8"/>
      <c r="E57" s="8"/>
    </row>
    <row r="58" spans="1:5" ht="19.5" customHeight="1">
      <c r="A58" s="5" t="s">
        <v>72</v>
      </c>
      <c r="B58" s="271">
        <f>143-1</f>
        <v>142</v>
      </c>
      <c r="C58" s="231">
        <v>12142</v>
      </c>
      <c r="D58" s="8"/>
      <c r="E58" s="8"/>
    </row>
    <row r="59" spans="1:5" ht="18.75">
      <c r="A59" s="5" t="s">
        <v>78</v>
      </c>
      <c r="B59" s="68">
        <v>0</v>
      </c>
      <c r="C59" s="68">
        <v>16631</v>
      </c>
      <c r="D59" s="8"/>
      <c r="E59" s="8"/>
    </row>
    <row r="60" spans="1:5" ht="19.5" thickBot="1">
      <c r="A60" s="5" t="s">
        <v>26</v>
      </c>
      <c r="B60" s="277">
        <v>94590</v>
      </c>
      <c r="C60" s="233">
        <v>98012</v>
      </c>
      <c r="D60" s="8"/>
      <c r="E60" s="8"/>
    </row>
    <row r="61" spans="1:3" ht="19.5" hidden="1" thickBot="1">
      <c r="A61" s="9" t="s">
        <v>22</v>
      </c>
      <c r="B61" s="6">
        <f>SUM(B51:B60)</f>
        <v>224661</v>
      </c>
      <c r="C61" s="6">
        <f>SUM(C51:C60)</f>
        <v>221902</v>
      </c>
    </row>
    <row r="62" spans="1:3" ht="19.5" hidden="1" thickBot="1">
      <c r="A62" s="10" t="s">
        <v>23</v>
      </c>
      <c r="B62" s="68">
        <v>0</v>
      </c>
      <c r="C62" s="68">
        <v>0</v>
      </c>
    </row>
    <row r="63" spans="1:3" ht="19.5" thickBot="1">
      <c r="A63" s="9" t="s">
        <v>24</v>
      </c>
      <c r="B63" s="11">
        <f>B61+B62</f>
        <v>224661</v>
      </c>
      <c r="C63" s="11">
        <f>C61+C62</f>
        <v>221902</v>
      </c>
    </row>
    <row r="64" spans="1:3" ht="19.5" thickBot="1">
      <c r="A64" s="9" t="s">
        <v>25</v>
      </c>
      <c r="B64" s="6">
        <f>B63+B49</f>
        <v>2129977</v>
      </c>
      <c r="C64" s="6">
        <f>C63+C49</f>
        <v>2291110</v>
      </c>
    </row>
    <row r="65" spans="1:3" ht="18.75">
      <c r="A65" s="199" t="s">
        <v>43</v>
      </c>
      <c r="B65" s="188">
        <f>B36-B64</f>
        <v>0</v>
      </c>
      <c r="C65" s="188">
        <f>C36-C64</f>
        <v>0</v>
      </c>
    </row>
    <row r="66" spans="1:3" ht="12.75" customHeight="1">
      <c r="A66" s="199"/>
      <c r="B66" s="188"/>
      <c r="C66" s="188"/>
    </row>
    <row r="67" spans="1:3" ht="18.75">
      <c r="A67" s="288" t="s">
        <v>212</v>
      </c>
      <c r="B67" s="188"/>
      <c r="C67" s="188"/>
    </row>
    <row r="68" spans="1:3" ht="18.75">
      <c r="A68" s="288" t="s">
        <v>213</v>
      </c>
      <c r="B68" s="188"/>
      <c r="C68" s="188"/>
    </row>
    <row r="70" spans="1:2" ht="18.75">
      <c r="A70" s="73" t="s">
        <v>206</v>
      </c>
      <c r="B70" s="98" t="s">
        <v>207</v>
      </c>
    </row>
    <row r="71" spans="1:9" s="1" customFormat="1" ht="14.25" customHeight="1">
      <c r="A71" s="47"/>
      <c r="B71" s="17"/>
      <c r="D71" s="2"/>
      <c r="E71" s="2"/>
      <c r="F71" s="2"/>
      <c r="G71" s="2"/>
      <c r="H71" s="2"/>
      <c r="I71" s="2"/>
    </row>
    <row r="72" spans="1:9" s="1" customFormat="1" ht="18.75">
      <c r="A72" s="48"/>
      <c r="B72" s="17"/>
      <c r="D72" s="2"/>
      <c r="E72" s="2"/>
      <c r="F72" s="2"/>
      <c r="G72" s="2"/>
      <c r="H72" s="2"/>
      <c r="I72" s="2"/>
    </row>
    <row r="73" spans="1:9" s="1" customFormat="1" ht="18.75">
      <c r="A73" s="49" t="s">
        <v>208</v>
      </c>
      <c r="B73" s="114" t="s">
        <v>209</v>
      </c>
      <c r="D73" s="2"/>
      <c r="E73" s="2"/>
      <c r="F73" s="2"/>
      <c r="G73" s="2"/>
      <c r="H73" s="2"/>
      <c r="I73" s="2"/>
    </row>
    <row r="74" spans="1:9" s="1" customFormat="1" ht="18.75">
      <c r="A74" s="49"/>
      <c r="B74" s="114"/>
      <c r="D74" s="2"/>
      <c r="E74" s="2"/>
      <c r="F74" s="2"/>
      <c r="G74" s="2"/>
      <c r="H74" s="2"/>
      <c r="I74" s="2"/>
    </row>
    <row r="75" spans="1:9" s="1" customFormat="1" ht="18.75">
      <c r="A75" s="49"/>
      <c r="B75" s="114"/>
      <c r="D75" s="2"/>
      <c r="E75" s="2"/>
      <c r="F75" s="2"/>
      <c r="G75" s="2"/>
      <c r="H75" s="2"/>
      <c r="I75" s="2"/>
    </row>
    <row r="76" spans="1:9" s="1" customFormat="1" ht="18.75">
      <c r="A76" s="74" t="s">
        <v>106</v>
      </c>
      <c r="B76" s="17"/>
      <c r="D76" s="2"/>
      <c r="E76" s="2"/>
      <c r="F76" s="2"/>
      <c r="G76" s="2"/>
      <c r="H76" s="2"/>
      <c r="I76" s="2"/>
    </row>
    <row r="77" spans="1:9" s="1" customFormat="1" ht="19.5">
      <c r="A77" s="75" t="s">
        <v>107</v>
      </c>
      <c r="B77" s="17"/>
      <c r="D77" s="2"/>
      <c r="E77" s="2"/>
      <c r="F77" s="2"/>
      <c r="G77" s="2"/>
      <c r="H77" s="2"/>
      <c r="I77" s="2"/>
    </row>
    <row r="78" spans="1:9" s="1" customFormat="1" ht="18.75">
      <c r="A78" s="76" t="s">
        <v>108</v>
      </c>
      <c r="B78" s="17"/>
      <c r="D78" s="2"/>
      <c r="E78" s="2"/>
      <c r="F78" s="2"/>
      <c r="G78" s="2"/>
      <c r="H78" s="2"/>
      <c r="I78" s="2"/>
    </row>
    <row r="79" spans="1:9" s="1" customFormat="1" ht="18.75">
      <c r="A79" s="14"/>
      <c r="B79" s="17"/>
      <c r="D79" s="2"/>
      <c r="E79" s="2"/>
      <c r="F79" s="2"/>
      <c r="G79" s="2"/>
      <c r="H79" s="2"/>
      <c r="I79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8" max="2" man="1"/>
  </rowBreaks>
  <colBreaks count="4" manualBreakCount="4">
    <brk id="3" max="65535" man="1"/>
    <brk id="16" max="65535" man="1"/>
    <brk id="3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5"/>
  <sheetViews>
    <sheetView tabSelected="1" zoomScaleSheetLayoutView="80" zoomScalePageLayoutView="0" workbookViewId="0" topLeftCell="A1">
      <selection activeCell="C49" sqref="C49"/>
    </sheetView>
  </sheetViews>
  <sheetFormatPr defaultColWidth="9.140625" defaultRowHeight="15"/>
  <cols>
    <col min="1" max="1" width="91.140625" style="79" customWidth="1"/>
    <col min="2" max="2" width="29.140625" style="122" customWidth="1"/>
    <col min="3" max="3" width="29.57421875" style="122" customWidth="1"/>
    <col min="4" max="4" width="9.140625" style="79" customWidth="1"/>
    <col min="5" max="5" width="21.140625" style="79" customWidth="1"/>
    <col min="6" max="6" width="13.421875" style="79" bestFit="1" customWidth="1"/>
    <col min="7" max="16384" width="9.140625" style="79" customWidth="1"/>
  </cols>
  <sheetData>
    <row r="1" spans="1:3" s="66" customFormat="1" ht="18.75">
      <c r="A1" s="65" t="str">
        <f>'[2]ф.1 конс.'!A1</f>
        <v>БИН                920140000084</v>
      </c>
      <c r="B1" s="203"/>
      <c r="C1" s="283">
        <f>'ф.1'!C1</f>
        <v>0</v>
      </c>
    </row>
    <row r="2" spans="1:3" s="66" customFormat="1" ht="18.75">
      <c r="A2" s="66" t="str">
        <f>'[2]ф.1 конс.'!A2</f>
        <v>Код ОКПО             19924793</v>
      </c>
      <c r="B2" s="204"/>
      <c r="C2" s="204"/>
    </row>
    <row r="3" spans="1:3" s="66" customFormat="1" ht="18.75">
      <c r="A3" s="66" t="str">
        <f>'[2]ф.1 конс.'!A3</f>
        <v>БИК                   TSESKZKA</v>
      </c>
      <c r="B3" s="204"/>
      <c r="C3" s="204"/>
    </row>
    <row r="4" spans="1:3" s="66" customFormat="1" ht="18.75">
      <c r="A4" s="66" t="str">
        <f>'[2]ф.1 конс.'!A4</f>
        <v>ИИК KZ48125KZT1001300336 в НБ РК</v>
      </c>
      <c r="B4" s="204"/>
      <c r="C4" s="204"/>
    </row>
    <row r="5" spans="1:3" s="66" customFormat="1" ht="18.75">
      <c r="A5" s="65" t="str">
        <f>'[2]ф.1 конс.'!A5</f>
        <v>Место нахождения головного банка: г.Астана, район Есиль, ул. Сығанақ, д. 24</v>
      </c>
      <c r="B5" s="203"/>
      <c r="C5" s="203"/>
    </row>
    <row r="6" spans="1:3" s="78" customFormat="1" ht="16.5">
      <c r="A6" s="77"/>
      <c r="B6" s="205"/>
      <c r="C6" s="205"/>
    </row>
    <row r="7" spans="1:3" s="78" customFormat="1" ht="19.5">
      <c r="A7" s="292" t="s">
        <v>28</v>
      </c>
      <c r="B7" s="292"/>
      <c r="C7" s="292"/>
    </row>
    <row r="8" spans="1:3" s="78" customFormat="1" ht="19.5">
      <c r="A8" s="292" t="s">
        <v>1</v>
      </c>
      <c r="B8" s="292"/>
      <c r="C8" s="292"/>
    </row>
    <row r="9" spans="1:3" s="78" customFormat="1" ht="19.5">
      <c r="A9" s="292" t="s">
        <v>68</v>
      </c>
      <c r="B9" s="292"/>
      <c r="C9" s="292"/>
    </row>
    <row r="10" spans="1:3" s="78" customFormat="1" ht="19.5">
      <c r="A10" s="292" t="s">
        <v>200</v>
      </c>
      <c r="B10" s="292"/>
      <c r="C10" s="292"/>
    </row>
    <row r="11" spans="1:3" ht="19.5" customHeight="1">
      <c r="A11" s="291" t="str">
        <f>'ф.1'!A11</f>
        <v>(без учета заключительных оборотов)</v>
      </c>
      <c r="B11" s="291"/>
      <c r="C11" s="291"/>
    </row>
    <row r="12" spans="1:3" ht="17.25" thickBot="1">
      <c r="A12" s="81"/>
      <c r="B12" s="206"/>
      <c r="C12" s="207" t="str">
        <f>'ф.1'!C12</f>
        <v>млн тенге</v>
      </c>
    </row>
    <row r="13" spans="1:6" s="2" customFormat="1" ht="24.75" customHeight="1" thickBot="1">
      <c r="A13" s="153"/>
      <c r="B13" s="97" t="s">
        <v>201</v>
      </c>
      <c r="C13" s="97" t="s">
        <v>205</v>
      </c>
      <c r="F13" s="82"/>
    </row>
    <row r="14" spans="1:3" s="2" customFormat="1" ht="18.75" hidden="1">
      <c r="A14" s="149"/>
      <c r="B14" s="208"/>
      <c r="C14" s="209"/>
    </row>
    <row r="15" spans="1:3" s="2" customFormat="1" ht="18.75">
      <c r="A15" s="150" t="s">
        <v>29</v>
      </c>
      <c r="B15" s="278">
        <v>148688</v>
      </c>
      <c r="C15" s="278">
        <v>151277</v>
      </c>
    </row>
    <row r="16" spans="1:3" s="2" customFormat="1" ht="19.5" thickBot="1">
      <c r="A16" s="5" t="s">
        <v>30</v>
      </c>
      <c r="B16" s="278">
        <v>-92349</v>
      </c>
      <c r="C16" s="279">
        <v>-90653</v>
      </c>
    </row>
    <row r="17" spans="1:3" s="2" customFormat="1" ht="18.75" hidden="1">
      <c r="A17" s="62" t="s">
        <v>139</v>
      </c>
      <c r="B17" s="253">
        <f>-125+5</f>
        <v>-120</v>
      </c>
      <c r="C17" s="254">
        <v>-126</v>
      </c>
    </row>
    <row r="18" spans="1:3" s="2" customFormat="1" ht="19.5" hidden="1" thickBot="1">
      <c r="A18" s="62"/>
      <c r="B18" s="118"/>
      <c r="C18" s="255"/>
    </row>
    <row r="19" spans="1:3" s="2" customFormat="1" ht="19.5" thickBot="1">
      <c r="A19" s="9" t="s">
        <v>31</v>
      </c>
      <c r="B19" s="235">
        <f>B15+B16</f>
        <v>56339</v>
      </c>
      <c r="C19" s="235">
        <f>C15+C16</f>
        <v>60624</v>
      </c>
    </row>
    <row r="20" spans="1:3" s="2" customFormat="1" ht="18.75">
      <c r="A20" s="5" t="s">
        <v>32</v>
      </c>
      <c r="B20" s="278">
        <v>9882</v>
      </c>
      <c r="C20" s="279">
        <v>12108</v>
      </c>
    </row>
    <row r="21" spans="1:3" s="2" customFormat="1" ht="19.5" thickBot="1">
      <c r="A21" s="5" t="s">
        <v>33</v>
      </c>
      <c r="B21" s="278">
        <v>-3144</v>
      </c>
      <c r="C21" s="279">
        <v>-3016</v>
      </c>
    </row>
    <row r="22" spans="1:3" s="2" customFormat="1" ht="19.5" thickBot="1">
      <c r="A22" s="9" t="s">
        <v>34</v>
      </c>
      <c r="B22" s="235">
        <f>SUM(B20:B21)</f>
        <v>6738</v>
      </c>
      <c r="C22" s="235">
        <f>SUM(C20:C21)</f>
        <v>9092</v>
      </c>
    </row>
    <row r="23" spans="1:3" s="2" customFormat="1" ht="18.75">
      <c r="A23" s="151" t="s">
        <v>89</v>
      </c>
      <c r="B23" s="278">
        <v>4299</v>
      </c>
      <c r="C23" s="279">
        <v>4119</v>
      </c>
    </row>
    <row r="24" spans="1:3" s="2" customFormat="1" ht="19.5" thickBot="1">
      <c r="A24" s="151" t="s">
        <v>109</v>
      </c>
      <c r="B24" s="280">
        <v>-1354</v>
      </c>
      <c r="C24" s="281">
        <v>-1424</v>
      </c>
    </row>
    <row r="25" spans="1:3" s="2" customFormat="1" ht="18.75">
      <c r="A25" s="150" t="s">
        <v>110</v>
      </c>
      <c r="B25" s="267">
        <f>B23+B24</f>
        <v>2945</v>
      </c>
      <c r="C25" s="267">
        <f>C23+C24</f>
        <v>2695</v>
      </c>
    </row>
    <row r="26" spans="1:3" s="2" customFormat="1" ht="18.75">
      <c r="A26" s="150" t="s">
        <v>111</v>
      </c>
      <c r="B26" s="278">
        <v>180</v>
      </c>
      <c r="C26" s="279">
        <v>-500</v>
      </c>
    </row>
    <row r="27" spans="1:3" s="2" customFormat="1" ht="38.25" thickBot="1">
      <c r="A27" s="152" t="s">
        <v>112</v>
      </c>
      <c r="B27" s="278">
        <v>76</v>
      </c>
      <c r="C27" s="279">
        <v>748</v>
      </c>
    </row>
    <row r="28" spans="1:3" s="2" customFormat="1" ht="19.5" thickBot="1">
      <c r="A28" s="9" t="s">
        <v>113</v>
      </c>
      <c r="B28" s="235">
        <f>B25+B26+B27</f>
        <v>3201</v>
      </c>
      <c r="C28" s="235">
        <f>C25+C26+C27</f>
        <v>2943</v>
      </c>
    </row>
    <row r="29" spans="1:3" s="2" customFormat="1" ht="18.75">
      <c r="A29" s="150" t="s">
        <v>85</v>
      </c>
      <c r="B29" s="278">
        <v>-1595</v>
      </c>
      <c r="C29" s="279">
        <v>-1198</v>
      </c>
    </row>
    <row r="30" spans="1:3" s="2" customFormat="1" ht="19.5" thickBot="1">
      <c r="A30" s="150" t="s">
        <v>86</v>
      </c>
      <c r="B30" s="280">
        <v>689</v>
      </c>
      <c r="C30" s="281">
        <v>1</v>
      </c>
    </row>
    <row r="31" spans="1:3" s="2" customFormat="1" ht="18.75">
      <c r="A31" s="150" t="s">
        <v>87</v>
      </c>
      <c r="B31" s="266">
        <f>B29+B30</f>
        <v>-906</v>
      </c>
      <c r="C31" s="266">
        <f>C29+C30</f>
        <v>-1197</v>
      </c>
    </row>
    <row r="32" spans="1:3" s="2" customFormat="1" ht="18.75">
      <c r="A32" s="150" t="s">
        <v>124</v>
      </c>
      <c r="B32" s="278">
        <v>714</v>
      </c>
      <c r="C32" s="279">
        <v>-186</v>
      </c>
    </row>
    <row r="33" spans="1:3" s="2" customFormat="1" ht="19.5" thickBot="1">
      <c r="A33" s="150" t="s">
        <v>137</v>
      </c>
      <c r="B33" s="278">
        <v>-844</v>
      </c>
      <c r="C33" s="279">
        <v>58</v>
      </c>
    </row>
    <row r="34" spans="1:3" s="2" customFormat="1" ht="19.5" thickBot="1">
      <c r="A34" s="9" t="s">
        <v>88</v>
      </c>
      <c r="B34" s="235">
        <f>B31+B32+B33</f>
        <v>-1036</v>
      </c>
      <c r="C34" s="235">
        <f>C31+C32+C33</f>
        <v>-1325</v>
      </c>
    </row>
    <row r="35" spans="1:3" s="2" customFormat="1" ht="59.25" customHeight="1">
      <c r="A35" s="5" t="s">
        <v>161</v>
      </c>
      <c r="B35" s="278">
        <v>-312</v>
      </c>
      <c r="C35" s="279">
        <v>-356</v>
      </c>
    </row>
    <row r="36" spans="1:3" s="2" customFormat="1" ht="39" customHeight="1">
      <c r="A36" s="5" t="s">
        <v>172</v>
      </c>
      <c r="B36" s="278">
        <v>3867</v>
      </c>
      <c r="C36" s="279">
        <v>3382</v>
      </c>
    </row>
    <row r="37" spans="1:3" s="2" customFormat="1" ht="36" customHeight="1">
      <c r="A37" s="5" t="s">
        <v>162</v>
      </c>
      <c r="B37" s="278">
        <v>-22</v>
      </c>
      <c r="C37" s="279">
        <v>5</v>
      </c>
    </row>
    <row r="38" spans="1:3" s="2" customFormat="1" ht="18.75">
      <c r="A38" s="5" t="s">
        <v>170</v>
      </c>
      <c r="B38" s="278">
        <v>0</v>
      </c>
      <c r="C38" s="279">
        <v>1957</v>
      </c>
    </row>
    <row r="39" spans="1:3" s="2" customFormat="1" ht="18.75">
      <c r="A39" s="5" t="s">
        <v>35</v>
      </c>
      <c r="B39" s="278">
        <v>55</v>
      </c>
      <c r="C39" s="279">
        <v>5</v>
      </c>
    </row>
    <row r="40" spans="1:3" s="2" customFormat="1" ht="18.75">
      <c r="A40" s="5" t="s">
        <v>174</v>
      </c>
      <c r="B40" s="278">
        <v>808</v>
      </c>
      <c r="C40" s="279">
        <v>0</v>
      </c>
    </row>
    <row r="41" spans="1:5" s="2" customFormat="1" ht="19.5" thickBot="1">
      <c r="A41" s="5" t="s">
        <v>114</v>
      </c>
      <c r="B41" s="278">
        <v>2678</v>
      </c>
      <c r="C41" s="279">
        <v>2855</v>
      </c>
      <c r="E41" s="201"/>
    </row>
    <row r="42" spans="1:3" s="2" customFormat="1" ht="19.5" thickBot="1">
      <c r="A42" s="9" t="s">
        <v>83</v>
      </c>
      <c r="B42" s="237">
        <f>SUM(B35:B41)</f>
        <v>7074</v>
      </c>
      <c r="C42" s="237">
        <f>C35+C36+C39+C41+C37+C38</f>
        <v>7848</v>
      </c>
    </row>
    <row r="43" spans="1:3" s="2" customFormat="1" ht="18.75">
      <c r="A43" s="5" t="s">
        <v>36</v>
      </c>
      <c r="B43" s="278">
        <v>-26808</v>
      </c>
      <c r="C43" s="279">
        <v>-20702</v>
      </c>
    </row>
    <row r="44" spans="1:3" s="2" customFormat="1" ht="18.75">
      <c r="A44" s="5" t="s">
        <v>115</v>
      </c>
      <c r="B44" s="278">
        <v>-17250</v>
      </c>
      <c r="C44" s="279">
        <v>-17996</v>
      </c>
    </row>
    <row r="45" spans="1:3" s="2" customFormat="1" ht="19.5" thickBot="1">
      <c r="A45" s="5" t="s">
        <v>116</v>
      </c>
      <c r="B45" s="278">
        <v>-23596</v>
      </c>
      <c r="C45" s="279">
        <v>-22278</v>
      </c>
    </row>
    <row r="46" spans="1:3" s="2" customFormat="1" ht="19.5" thickBot="1">
      <c r="A46" s="9" t="s">
        <v>37</v>
      </c>
      <c r="B46" s="237">
        <f>SUM(B43:B45)</f>
        <v>-67654</v>
      </c>
      <c r="C46" s="237">
        <f>SUM(C43:C45)</f>
        <v>-60976</v>
      </c>
    </row>
    <row r="47" spans="1:3" s="2" customFormat="1" ht="18.75">
      <c r="A47" s="86" t="s">
        <v>38</v>
      </c>
      <c r="B47" s="238">
        <f>B19+B22+B28+B34+B42+B46</f>
        <v>4662</v>
      </c>
      <c r="C47" s="238">
        <f>C19+C22+C28+C34+C42+C46</f>
        <v>18206</v>
      </c>
    </row>
    <row r="48" spans="1:3" s="2" customFormat="1" ht="19.5" thickBot="1">
      <c r="A48" s="5" t="s">
        <v>39</v>
      </c>
      <c r="B48" s="278">
        <v>3289</v>
      </c>
      <c r="C48" s="279">
        <v>-1393</v>
      </c>
    </row>
    <row r="49" spans="1:3" s="2" customFormat="1" ht="19.5" thickBot="1">
      <c r="A49" s="9" t="s">
        <v>164</v>
      </c>
      <c r="B49" s="239">
        <f>SUM(B47:B48)</f>
        <v>7951</v>
      </c>
      <c r="C49" s="239">
        <f>SUM(C47:C48)</f>
        <v>16813</v>
      </c>
    </row>
    <row r="50" spans="1:3" s="2" customFormat="1" ht="21.75" customHeight="1" hidden="1">
      <c r="A50" s="126" t="s">
        <v>142</v>
      </c>
      <c r="B50" s="210"/>
      <c r="C50" s="256"/>
    </row>
    <row r="51" spans="1:3" s="2" customFormat="1" ht="18.75" hidden="1">
      <c r="A51" s="5" t="s">
        <v>143</v>
      </c>
      <c r="B51" s="211">
        <f>B49</f>
        <v>7951</v>
      </c>
      <c r="C51" s="257">
        <f>C49</f>
        <v>16813</v>
      </c>
    </row>
    <row r="52" spans="1:3" s="2" customFormat="1" ht="19.5" hidden="1" thickBot="1">
      <c r="A52" s="150" t="s">
        <v>167</v>
      </c>
      <c r="B52" s="212">
        <v>0</v>
      </c>
      <c r="C52" s="258">
        <v>0</v>
      </c>
    </row>
    <row r="53" spans="1:3" s="2" customFormat="1" ht="19.5" thickBot="1">
      <c r="A53" s="126"/>
      <c r="B53" s="210"/>
      <c r="C53" s="256"/>
    </row>
    <row r="54" spans="1:3" s="123" customFormat="1" ht="19.5" thickBot="1">
      <c r="A54" s="121" t="s">
        <v>74</v>
      </c>
      <c r="B54" s="198"/>
      <c r="C54" s="121"/>
    </row>
    <row r="55" spans="1:3" ht="37.5">
      <c r="A55" s="85" t="s">
        <v>84</v>
      </c>
      <c r="B55" s="213"/>
      <c r="C55" s="259"/>
    </row>
    <row r="56" spans="1:3" ht="37.5">
      <c r="A56" s="5" t="s">
        <v>40</v>
      </c>
      <c r="B56" s="240"/>
      <c r="C56" s="115"/>
    </row>
    <row r="57" spans="1:3" ht="18.75">
      <c r="A57" s="5" t="s">
        <v>41</v>
      </c>
      <c r="B57" s="241">
        <v>158</v>
      </c>
      <c r="C57" s="260">
        <v>430</v>
      </c>
    </row>
    <row r="58" spans="1:3" ht="37.5">
      <c r="A58" s="87" t="s">
        <v>42</v>
      </c>
      <c r="B58" s="241">
        <v>21</v>
      </c>
      <c r="C58" s="260">
        <v>57</v>
      </c>
    </row>
    <row r="59" spans="1:3" ht="41.25" customHeight="1" hidden="1">
      <c r="A59" s="87" t="s">
        <v>179</v>
      </c>
      <c r="B59" s="241">
        <v>7</v>
      </c>
      <c r="C59" s="260">
        <v>0</v>
      </c>
    </row>
    <row r="60" spans="1:3" ht="63" customHeight="1" hidden="1">
      <c r="A60" s="87" t="s">
        <v>180</v>
      </c>
      <c r="B60" s="241">
        <v>0</v>
      </c>
      <c r="C60" s="260">
        <v>0</v>
      </c>
    </row>
    <row r="61" spans="1:3" ht="42.75" customHeight="1" hidden="1">
      <c r="A61" s="87" t="s">
        <v>181</v>
      </c>
      <c r="B61" s="241">
        <v>0</v>
      </c>
      <c r="C61" s="260">
        <v>0</v>
      </c>
    </row>
    <row r="62" spans="1:3" ht="42.75" customHeight="1" hidden="1">
      <c r="A62" s="87" t="s">
        <v>185</v>
      </c>
      <c r="B62" s="241">
        <f>-2*0</f>
        <v>0</v>
      </c>
      <c r="C62" s="260"/>
    </row>
    <row r="63" spans="1:3" ht="42.75" customHeight="1" hidden="1">
      <c r="A63" s="87" t="s">
        <v>186</v>
      </c>
      <c r="B63" s="241">
        <v>0</v>
      </c>
      <c r="C63" s="260"/>
    </row>
    <row r="64" spans="1:3" ht="37.5">
      <c r="A64" s="154" t="s">
        <v>141</v>
      </c>
      <c r="B64" s="241">
        <v>-710</v>
      </c>
      <c r="C64" s="260">
        <v>1395</v>
      </c>
    </row>
    <row r="65" spans="1:3" ht="38.25" thickBot="1">
      <c r="A65" s="181" t="s">
        <v>80</v>
      </c>
      <c r="B65" s="242">
        <f>SUM(B57:B64)</f>
        <v>-524</v>
      </c>
      <c r="C65" s="236">
        <f>C57+C58+C64</f>
        <v>1882</v>
      </c>
    </row>
    <row r="66" spans="1:3" s="122" customFormat="1" ht="19.5" thickBot="1">
      <c r="A66" s="286" t="s">
        <v>165</v>
      </c>
      <c r="B66" s="261">
        <f>B65</f>
        <v>-524</v>
      </c>
      <c r="C66" s="261">
        <f>C65</f>
        <v>1882</v>
      </c>
    </row>
    <row r="67" spans="1:3" s="122" customFormat="1" ht="19.5" thickBot="1">
      <c r="A67" s="287" t="s">
        <v>144</v>
      </c>
      <c r="B67" s="261">
        <f>B49+B66</f>
        <v>7427</v>
      </c>
      <c r="C67" s="261">
        <f>C49+C66</f>
        <v>18695</v>
      </c>
    </row>
    <row r="68" spans="1:3" s="122" customFormat="1" ht="19.5" thickBot="1">
      <c r="A68" s="190" t="s">
        <v>210</v>
      </c>
      <c r="B68" s="191">
        <v>132</v>
      </c>
      <c r="C68" s="192">
        <v>284</v>
      </c>
    </row>
    <row r="69" spans="1:3" s="122" customFormat="1" ht="19.5" thickBot="1">
      <c r="A69" s="190" t="s">
        <v>211</v>
      </c>
      <c r="B69" s="119">
        <v>132</v>
      </c>
      <c r="C69" s="278">
        <v>0</v>
      </c>
    </row>
    <row r="70" spans="1:3" ht="18.75">
      <c r="A70" s="64"/>
      <c r="B70" s="16"/>
      <c r="C70" s="16"/>
    </row>
    <row r="71" spans="1:3" ht="18.75">
      <c r="A71" s="64"/>
      <c r="B71" s="16"/>
      <c r="C71" s="16"/>
    </row>
    <row r="72" spans="1:3" ht="16.5">
      <c r="A72" s="84"/>
      <c r="B72" s="123"/>
      <c r="C72" s="123"/>
    </row>
    <row r="73" spans="1:3" ht="18.75">
      <c r="A73" s="88" t="s">
        <v>43</v>
      </c>
      <c r="B73" s="214"/>
      <c r="C73" s="214"/>
    </row>
    <row r="74" spans="1:3" ht="19.5">
      <c r="A74" s="15"/>
      <c r="B74" s="15"/>
      <c r="C74" s="15"/>
    </row>
    <row r="75" spans="1:3" ht="18.75">
      <c r="A75" s="73" t="str">
        <f>'ф.1'!A70</f>
        <v>Председатель Правления                                              </v>
      </c>
      <c r="B75" s="98" t="str">
        <f>'ф.1'!B70</f>
        <v>Вокурка У.</v>
      </c>
      <c r="C75" s="98"/>
    </row>
    <row r="76" spans="1:3" ht="18.75">
      <c r="A76" s="47"/>
      <c r="B76" s="142"/>
      <c r="C76" s="135"/>
    </row>
    <row r="77" spans="1:3" ht="18.75">
      <c r="A77" s="48"/>
      <c r="B77" s="17"/>
      <c r="C77" s="136"/>
    </row>
    <row r="78" spans="1:3" ht="18.75" customHeight="1">
      <c r="A78" s="49" t="str">
        <f>'ф.1'!A73</f>
        <v>Главный бухгалтер                                                        </v>
      </c>
      <c r="B78" s="98" t="str">
        <f>'ф.1'!B73</f>
        <v>Багаутдинова Н.М.</v>
      </c>
      <c r="C78" s="215"/>
    </row>
    <row r="79" spans="1:3" ht="20.25">
      <c r="A79" s="12"/>
      <c r="B79" s="216"/>
      <c r="C79" s="216"/>
    </row>
    <row r="80" spans="1:3" ht="18.75">
      <c r="A80" s="16"/>
      <c r="B80" s="16"/>
      <c r="C80" s="16"/>
    </row>
    <row r="81" spans="1:3" ht="16.5">
      <c r="A81" s="74" t="s">
        <v>106</v>
      </c>
      <c r="B81" s="217"/>
      <c r="C81" s="217"/>
    </row>
    <row r="82" spans="1:3" ht="19.5">
      <c r="A82" s="75" t="s">
        <v>107</v>
      </c>
      <c r="B82" s="218"/>
      <c r="C82" s="218"/>
    </row>
    <row r="83" spans="1:3" ht="16.5">
      <c r="A83" s="76" t="s">
        <v>108</v>
      </c>
      <c r="B83" s="219"/>
      <c r="C83" s="219"/>
    </row>
    <row r="85" spans="1:3" ht="16.5">
      <c r="A85" s="14"/>
      <c r="B85" s="220"/>
      <c r="C85" s="220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N8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9.140625" style="168" customWidth="1"/>
    <col min="2" max="2" width="73.421875" style="0" customWidth="1"/>
    <col min="3" max="3" width="22.28125" style="17" customWidth="1"/>
    <col min="4" max="4" width="21.00390625" style="17" customWidth="1"/>
    <col min="5" max="5" width="24.140625" style="100" hidden="1" customWidth="1"/>
    <col min="6" max="6" width="23.8515625" style="100" hidden="1" customWidth="1"/>
    <col min="9" max="9" width="13.7109375" style="0" customWidth="1"/>
    <col min="14" max="14" width="15.7109375" style="0" bestFit="1" customWidth="1"/>
  </cols>
  <sheetData>
    <row r="1" spans="2:6" ht="15.75">
      <c r="B1" s="63" t="str">
        <f>'[1]ф.1 конс.'!A1</f>
        <v>БИН                920140000084</v>
      </c>
      <c r="C1" s="221"/>
      <c r="D1" s="284">
        <f>'ф.1'!C1</f>
        <v>0</v>
      </c>
      <c r="E1" s="93"/>
      <c r="F1" s="180">
        <f>'ф.1'!C1</f>
        <v>0</v>
      </c>
    </row>
    <row r="2" spans="2:6" ht="15.75">
      <c r="B2" s="63" t="str">
        <f>'[1]ф.1 конс.'!A2</f>
        <v>Код ОКПО             19924793</v>
      </c>
      <c r="C2" s="221"/>
      <c r="D2" s="221"/>
      <c r="E2" s="93"/>
      <c r="F2" s="99"/>
    </row>
    <row r="3" spans="2:6" ht="15.75">
      <c r="B3" s="63" t="str">
        <f>'[1]ф.1 конс.'!A3</f>
        <v>БИК                   TSESKZKA</v>
      </c>
      <c r="C3" s="221"/>
      <c r="D3" s="221"/>
      <c r="E3" s="93"/>
      <c r="F3" s="99"/>
    </row>
    <row r="4" spans="2:6" ht="15.75">
      <c r="B4" s="300" t="str">
        <f>'[1]ф.1 конс.'!A4</f>
        <v>ИИК KZ48125KZT1001300336 в НБ РК</v>
      </c>
      <c r="C4" s="300"/>
      <c r="D4" s="300"/>
      <c r="E4" s="300"/>
      <c r="F4" s="99"/>
    </row>
    <row r="5" spans="2:6" ht="15.75">
      <c r="B5" s="300" t="str">
        <f>'[1]ф.1 конс.'!A5</f>
        <v>Место нахождения головного банка: г.Астана, район Есиль, ул. Сығанақ, д. 24</v>
      </c>
      <c r="C5" s="300"/>
      <c r="D5" s="300"/>
      <c r="E5" s="300"/>
      <c r="F5" s="99"/>
    </row>
    <row r="6" spans="2:6" ht="15">
      <c r="B6" s="17"/>
      <c r="E6" s="99"/>
      <c r="F6" s="99"/>
    </row>
    <row r="7" spans="2:14" ht="15">
      <c r="B7" s="295" t="s">
        <v>156</v>
      </c>
      <c r="C7" s="295"/>
      <c r="D7" s="295"/>
      <c r="E7" s="296"/>
      <c r="F7" s="296"/>
      <c r="N7" s="166"/>
    </row>
    <row r="8" spans="1:6" s="113" customFormat="1" ht="15">
      <c r="A8" s="168"/>
      <c r="B8" s="297" t="s">
        <v>67</v>
      </c>
      <c r="C8" s="297"/>
      <c r="D8" s="297"/>
      <c r="E8" s="296"/>
      <c r="F8" s="296"/>
    </row>
    <row r="9" spans="2:6" ht="15">
      <c r="B9" s="297" t="s">
        <v>68</v>
      </c>
      <c r="C9" s="297"/>
      <c r="D9" s="297"/>
      <c r="E9" s="296"/>
      <c r="F9" s="296"/>
    </row>
    <row r="10" spans="2:6" ht="15.75">
      <c r="B10" s="298" t="str">
        <f>'ф.2'!A10</f>
        <v>за период, закончившийся 30.09.2018 года</v>
      </c>
      <c r="C10" s="298"/>
      <c r="D10" s="298"/>
      <c r="E10" s="299"/>
      <c r="F10" s="299"/>
    </row>
    <row r="11" spans="2:6" ht="15.75">
      <c r="B11" s="293" t="str">
        <f>'ф.1'!A11</f>
        <v>(без учета заключительных оборотов)</v>
      </c>
      <c r="C11" s="293"/>
      <c r="D11" s="293"/>
      <c r="E11" s="294"/>
      <c r="F11" s="294"/>
    </row>
    <row r="12" spans="4:6" ht="15.75" thickBot="1">
      <c r="D12" s="101" t="s">
        <v>147</v>
      </c>
      <c r="F12" s="101" t="s">
        <v>149</v>
      </c>
    </row>
    <row r="13" spans="2:6" ht="15.75" thickBot="1">
      <c r="B13" s="21"/>
      <c r="C13" s="102" t="str">
        <f>'ф.2'!B13</f>
        <v>9 месяцев 2018г.*</v>
      </c>
      <c r="D13" s="102" t="str">
        <f>'ф.2'!C13</f>
        <v>9 месяцев 2017г.*</v>
      </c>
      <c r="E13" s="102" t="str">
        <f>C13</f>
        <v>9 месяцев 2018г.*</v>
      </c>
      <c r="F13" s="102" t="str">
        <f>D13</f>
        <v>9 месяцев 2017г.*</v>
      </c>
    </row>
    <row r="14" spans="2:6" ht="28.5">
      <c r="B14" s="182" t="s">
        <v>44</v>
      </c>
      <c r="C14" s="222"/>
      <c r="D14" s="223"/>
      <c r="E14" s="103"/>
      <c r="F14" s="167"/>
    </row>
    <row r="15" spans="2:11" ht="15">
      <c r="B15" s="183" t="s">
        <v>29</v>
      </c>
      <c r="C15" s="104">
        <v>147185</v>
      </c>
      <c r="D15" s="104">
        <v>100363</v>
      </c>
      <c r="E15" s="200">
        <v>72408432.57519</v>
      </c>
      <c r="F15" s="104">
        <v>67528885</v>
      </c>
      <c r="I15" s="165"/>
      <c r="K15" s="165"/>
    </row>
    <row r="16" spans="2:11" ht="15">
      <c r="B16" s="183" t="s">
        <v>30</v>
      </c>
      <c r="C16" s="104">
        <v>-88548</v>
      </c>
      <c r="D16" s="104">
        <v>-90325</v>
      </c>
      <c r="E16" s="200">
        <v>-62975762</v>
      </c>
      <c r="F16" s="104">
        <v>-48899417</v>
      </c>
      <c r="I16" s="165"/>
      <c r="K16" s="165"/>
    </row>
    <row r="17" spans="2:11" ht="15">
      <c r="B17" s="183" t="s">
        <v>32</v>
      </c>
      <c r="C17" s="104">
        <v>9883</v>
      </c>
      <c r="D17" s="104">
        <v>11932</v>
      </c>
      <c r="E17" s="200">
        <v>7751331</v>
      </c>
      <c r="F17" s="104">
        <v>7320463</v>
      </c>
      <c r="I17" s="165"/>
      <c r="K17" s="165"/>
    </row>
    <row r="18" spans="2:11" ht="15">
      <c r="B18" s="183" t="s">
        <v>33</v>
      </c>
      <c r="C18" s="104">
        <v>-3164</v>
      </c>
      <c r="D18" s="104">
        <v>-3089</v>
      </c>
      <c r="E18" s="200">
        <v>-1687573</v>
      </c>
      <c r="F18" s="104">
        <v>-1843746</v>
      </c>
      <c r="I18" s="165"/>
      <c r="K18" s="165"/>
    </row>
    <row r="19" spans="2:11" ht="15">
      <c r="B19" s="183" t="s">
        <v>90</v>
      </c>
      <c r="C19" s="104">
        <v>3879</v>
      </c>
      <c r="D19" s="104">
        <v>3919</v>
      </c>
      <c r="E19" s="200">
        <v>1708459</v>
      </c>
      <c r="F19" s="104">
        <v>2868430</v>
      </c>
      <c r="I19" s="165"/>
      <c r="K19" s="165"/>
    </row>
    <row r="20" spans="2:11" ht="15">
      <c r="B20" s="183" t="s">
        <v>91</v>
      </c>
      <c r="C20" s="104">
        <v>-1100</v>
      </c>
      <c r="D20" s="104">
        <v>-1430</v>
      </c>
      <c r="E20" s="200">
        <v>-249624</v>
      </c>
      <c r="F20" s="104">
        <v>-311145</v>
      </c>
      <c r="I20" s="165"/>
      <c r="K20" s="165"/>
    </row>
    <row r="21" spans="2:11" ht="15">
      <c r="B21" s="183" t="s">
        <v>125</v>
      </c>
      <c r="C21" s="104">
        <v>-909</v>
      </c>
      <c r="D21" s="104">
        <v>-1247</v>
      </c>
      <c r="E21" s="200">
        <v>-936047</v>
      </c>
      <c r="F21" s="104">
        <v>-2058000</v>
      </c>
      <c r="I21" s="165"/>
      <c r="K21" s="165"/>
    </row>
    <row r="22" spans="2:11" ht="45">
      <c r="B22" s="185" t="s">
        <v>151</v>
      </c>
      <c r="C22" s="104">
        <v>824</v>
      </c>
      <c r="D22" s="104">
        <v>1235</v>
      </c>
      <c r="E22" s="200">
        <v>703001</v>
      </c>
      <c r="F22" s="104">
        <v>29237948</v>
      </c>
      <c r="I22" s="165"/>
      <c r="K22" s="165"/>
    </row>
    <row r="23" spans="2:11" ht="30">
      <c r="B23" s="185" t="s">
        <v>187</v>
      </c>
      <c r="C23" s="104">
        <v>5159</v>
      </c>
      <c r="D23" s="104">
        <v>3545</v>
      </c>
      <c r="E23" s="200">
        <v>2039034.42481</v>
      </c>
      <c r="F23" s="104">
        <v>5912529</v>
      </c>
      <c r="I23" s="165"/>
      <c r="K23" s="165"/>
    </row>
    <row r="24" spans="2:11" ht="15">
      <c r="B24" s="183" t="s">
        <v>45</v>
      </c>
      <c r="C24" s="104">
        <v>55</v>
      </c>
      <c r="D24" s="104">
        <v>5</v>
      </c>
      <c r="E24" s="200">
        <v>3126</v>
      </c>
      <c r="F24" s="104">
        <v>0</v>
      </c>
      <c r="I24" s="165"/>
      <c r="K24" s="165"/>
    </row>
    <row r="25" spans="2:11" ht="15">
      <c r="B25" s="183" t="s">
        <v>46</v>
      </c>
      <c r="C25" s="104">
        <v>3130</v>
      </c>
      <c r="D25" s="104">
        <v>2275</v>
      </c>
      <c r="E25" s="200">
        <v>1511625</v>
      </c>
      <c r="F25" s="104">
        <v>1028443</v>
      </c>
      <c r="I25" s="165"/>
      <c r="K25" s="165"/>
    </row>
    <row r="26" spans="2:11" ht="15">
      <c r="B26" s="183" t="s">
        <v>47</v>
      </c>
      <c r="C26" s="104">
        <v>-40201</v>
      </c>
      <c r="D26" s="104">
        <v>-35892</v>
      </c>
      <c r="E26" s="200">
        <v>-22256512</v>
      </c>
      <c r="F26" s="104">
        <v>-22904129</v>
      </c>
      <c r="I26" s="165"/>
      <c r="K26" s="165"/>
    </row>
    <row r="27" spans="2:11" ht="15">
      <c r="B27" s="184"/>
      <c r="C27" s="104"/>
      <c r="D27" s="104"/>
      <c r="E27" s="105"/>
      <c r="F27" s="104"/>
      <c r="I27" s="165"/>
      <c r="K27" s="165"/>
    </row>
    <row r="28" spans="2:11" ht="15">
      <c r="B28" s="184" t="s">
        <v>48</v>
      </c>
      <c r="C28" s="104"/>
      <c r="D28" s="104"/>
      <c r="E28" s="106"/>
      <c r="F28" s="104"/>
      <c r="I28" s="165"/>
      <c r="K28" s="165"/>
    </row>
    <row r="29" spans="2:11" ht="15">
      <c r="B29" s="183" t="s">
        <v>4</v>
      </c>
      <c r="C29" s="104">
        <v>2105</v>
      </c>
      <c r="D29" s="104">
        <v>3663</v>
      </c>
      <c r="E29" s="200">
        <v>4402718</v>
      </c>
      <c r="F29" s="104">
        <v>258633</v>
      </c>
      <c r="I29" s="165"/>
      <c r="K29" s="165"/>
    </row>
    <row r="30" spans="2:11" ht="15">
      <c r="B30" s="183" t="s">
        <v>82</v>
      </c>
      <c r="C30" s="104">
        <v>10428</v>
      </c>
      <c r="D30" s="104">
        <v>1340</v>
      </c>
      <c r="E30" s="200">
        <v>532919</v>
      </c>
      <c r="F30" s="104">
        <v>-1979707</v>
      </c>
      <c r="I30" s="165"/>
      <c r="K30" s="165"/>
    </row>
    <row r="31" spans="2:11" ht="30">
      <c r="B31" s="183" t="s">
        <v>126</v>
      </c>
      <c r="C31" s="104">
        <v>1532</v>
      </c>
      <c r="D31" s="104">
        <v>42570</v>
      </c>
      <c r="E31" s="200">
        <v>41466274</v>
      </c>
      <c r="F31" s="104">
        <v>-123836550</v>
      </c>
      <c r="I31" s="165"/>
      <c r="K31" s="165"/>
    </row>
    <row r="32" spans="2:11" ht="15">
      <c r="B32" s="183" t="s">
        <v>7</v>
      </c>
      <c r="C32" s="104">
        <v>231466</v>
      </c>
      <c r="D32" s="104">
        <v>-62649</v>
      </c>
      <c r="E32" s="200">
        <v>-50983077</v>
      </c>
      <c r="F32" s="104">
        <v>-22074456</v>
      </c>
      <c r="I32" s="165"/>
      <c r="K32" s="165"/>
    </row>
    <row r="33" spans="2:11" ht="15">
      <c r="B33" s="183" t="s">
        <v>12</v>
      </c>
      <c r="C33" s="104">
        <v>-9864</v>
      </c>
      <c r="D33" s="104">
        <v>5086</v>
      </c>
      <c r="E33" s="200">
        <v>-1718543</v>
      </c>
      <c r="F33" s="104">
        <v>-2124091</v>
      </c>
      <c r="I33" s="165"/>
      <c r="K33" s="165"/>
    </row>
    <row r="34" spans="2:11" ht="15">
      <c r="B34" s="184"/>
      <c r="C34" s="104"/>
      <c r="D34" s="104"/>
      <c r="E34" s="105"/>
      <c r="F34" s="104"/>
      <c r="I34" s="165"/>
      <c r="K34" s="165"/>
    </row>
    <row r="35" spans="2:11" ht="15">
      <c r="B35" s="184" t="s">
        <v>49</v>
      </c>
      <c r="C35" s="104"/>
      <c r="D35" s="104"/>
      <c r="E35" s="106"/>
      <c r="F35" s="104"/>
      <c r="I35" s="165"/>
      <c r="K35" s="165"/>
    </row>
    <row r="36" spans="2:11" ht="15">
      <c r="B36" s="183" t="s">
        <v>105</v>
      </c>
      <c r="C36" s="104">
        <v>-4249</v>
      </c>
      <c r="D36" s="104">
        <v>-3695</v>
      </c>
      <c r="E36" s="200">
        <v>-3489079</v>
      </c>
      <c r="F36" s="104">
        <v>5700405</v>
      </c>
      <c r="I36" s="165"/>
      <c r="K36" s="165"/>
    </row>
    <row r="37" spans="2:11" ht="15">
      <c r="B37" s="183" t="s">
        <v>14</v>
      </c>
      <c r="C37" s="104">
        <v>197309</v>
      </c>
      <c r="D37" s="104">
        <v>-40517</v>
      </c>
      <c r="E37" s="200">
        <v>-6027731</v>
      </c>
      <c r="F37" s="104">
        <v>-24161242</v>
      </c>
      <c r="I37" s="165"/>
      <c r="K37" s="165"/>
    </row>
    <row r="38" spans="2:11" ht="15">
      <c r="B38" s="183" t="s">
        <v>50</v>
      </c>
      <c r="C38" s="104">
        <v>-463213</v>
      </c>
      <c r="D38" s="104">
        <v>135788</v>
      </c>
      <c r="E38" s="200">
        <v>14064560</v>
      </c>
      <c r="F38" s="104">
        <v>118204693</v>
      </c>
      <c r="I38" s="165"/>
      <c r="K38" s="165"/>
    </row>
    <row r="39" spans="2:11" ht="15">
      <c r="B39" s="183" t="s">
        <v>51</v>
      </c>
      <c r="C39" s="104">
        <v>31718</v>
      </c>
      <c r="D39" s="104">
        <v>13953</v>
      </c>
      <c r="E39" s="200">
        <v>81055143</v>
      </c>
      <c r="F39" s="104">
        <v>25000000</v>
      </c>
      <c r="I39" s="165"/>
      <c r="K39" s="165"/>
    </row>
    <row r="40" spans="2:11" ht="15">
      <c r="B40" s="183" t="s">
        <v>52</v>
      </c>
      <c r="C40" s="104">
        <v>546</v>
      </c>
      <c r="D40" s="104">
        <v>317</v>
      </c>
      <c r="E40" s="200">
        <v>-41510</v>
      </c>
      <c r="F40" s="104">
        <v>-70962</v>
      </c>
      <c r="I40" s="165"/>
      <c r="K40" s="165"/>
    </row>
    <row r="41" spans="2:11" ht="31.5">
      <c r="B41" s="194" t="s">
        <v>152</v>
      </c>
      <c r="C41" s="172">
        <f>SUM(C15:C40)</f>
        <v>33971</v>
      </c>
      <c r="D41" s="172">
        <f>SUM(D15:D40)</f>
        <v>87147</v>
      </c>
      <c r="E41" s="107">
        <f>SUM(E15:E40)</f>
        <v>77281165</v>
      </c>
      <c r="F41" s="172">
        <f>SUM(F15:F40)</f>
        <v>12796984</v>
      </c>
      <c r="I41" s="165"/>
      <c r="K41" s="165"/>
    </row>
    <row r="42" spans="2:11" ht="15">
      <c r="B42" s="183" t="s">
        <v>53</v>
      </c>
      <c r="C42" s="104">
        <v>-587</v>
      </c>
      <c r="D42" s="104">
        <v>-2270</v>
      </c>
      <c r="E42" s="200">
        <v>-2213328</v>
      </c>
      <c r="F42" s="173">
        <v>-1541463</v>
      </c>
      <c r="I42" s="165"/>
      <c r="K42" s="165"/>
    </row>
    <row r="43" spans="2:11" ht="28.5">
      <c r="B43" s="193" t="s">
        <v>153</v>
      </c>
      <c r="C43" s="172">
        <f>C41+C42</f>
        <v>33384</v>
      </c>
      <c r="D43" s="172">
        <f>D41+D42</f>
        <v>84877</v>
      </c>
      <c r="E43" s="107">
        <f>E41+E42</f>
        <v>75067837</v>
      </c>
      <c r="F43" s="172">
        <f>F41+F42</f>
        <v>11255521</v>
      </c>
      <c r="I43" s="165"/>
      <c r="K43" s="165"/>
    </row>
    <row r="44" spans="2:11" ht="28.5">
      <c r="B44" s="184" t="s">
        <v>54</v>
      </c>
      <c r="C44" s="224"/>
      <c r="D44" s="247"/>
      <c r="E44" s="106"/>
      <c r="F44" s="174"/>
      <c r="I44" s="165"/>
      <c r="K44" s="165"/>
    </row>
    <row r="45" spans="2:11" ht="15">
      <c r="B45" s="183" t="s">
        <v>132</v>
      </c>
      <c r="C45" s="104">
        <v>-6265</v>
      </c>
      <c r="D45" s="104">
        <v>-1459685</v>
      </c>
      <c r="E45" s="200">
        <v>-785452559</v>
      </c>
      <c r="F45" s="173">
        <v>0</v>
      </c>
      <c r="I45" s="165"/>
      <c r="K45" s="165"/>
    </row>
    <row r="46" spans="2:11" ht="30">
      <c r="B46" s="183" t="s">
        <v>55</v>
      </c>
      <c r="C46" s="104">
        <v>30033</v>
      </c>
      <c r="D46" s="104">
        <v>1441672</v>
      </c>
      <c r="E46" s="200">
        <v>720052626</v>
      </c>
      <c r="F46" s="173">
        <v>0</v>
      </c>
      <c r="I46" s="165"/>
      <c r="K46" s="165"/>
    </row>
    <row r="47" spans="2:11" ht="15">
      <c r="B47" s="183" t="s">
        <v>56</v>
      </c>
      <c r="C47" s="104">
        <v>-10971</v>
      </c>
      <c r="D47" s="104">
        <v>0</v>
      </c>
      <c r="E47" s="104">
        <v>0</v>
      </c>
      <c r="F47" s="173">
        <v>0</v>
      </c>
      <c r="I47" s="165"/>
      <c r="K47" s="165"/>
    </row>
    <row r="48" spans="2:11" ht="15">
      <c r="B48" s="183" t="s">
        <v>57</v>
      </c>
      <c r="C48" s="104">
        <v>4715</v>
      </c>
      <c r="D48" s="104">
        <v>10288</v>
      </c>
      <c r="E48" s="200">
        <v>4005618</v>
      </c>
      <c r="F48" s="173">
        <v>3816400</v>
      </c>
      <c r="I48" s="165"/>
      <c r="K48" s="165"/>
    </row>
    <row r="49" spans="2:11" ht="15" hidden="1">
      <c r="B49" s="183" t="s">
        <v>127</v>
      </c>
      <c r="C49" s="104">
        <f>ROUND(E49/1000,0)</f>
        <v>0</v>
      </c>
      <c r="D49" s="104">
        <f>ROUND(F49/1000,0)</f>
        <v>0</v>
      </c>
      <c r="E49" s="104">
        <v>0</v>
      </c>
      <c r="F49" s="173">
        <v>0</v>
      </c>
      <c r="I49" s="165"/>
      <c r="K49" s="165"/>
    </row>
    <row r="50" spans="1:11" s="141" customFormat="1" ht="15.75" customHeight="1">
      <c r="A50" s="168"/>
      <c r="B50" s="183" t="s">
        <v>145</v>
      </c>
      <c r="C50" s="104">
        <v>2383</v>
      </c>
      <c r="D50" s="104">
        <v>55</v>
      </c>
      <c r="E50" s="200">
        <v>21599</v>
      </c>
      <c r="F50" s="173">
        <v>38632</v>
      </c>
      <c r="I50" s="165"/>
      <c r="K50" s="165"/>
    </row>
    <row r="51" spans="2:11" ht="15">
      <c r="B51" s="185" t="s">
        <v>58</v>
      </c>
      <c r="C51" s="104">
        <v>-2658</v>
      </c>
      <c r="D51" s="104">
        <v>-3184</v>
      </c>
      <c r="E51" s="200">
        <v>-1778284</v>
      </c>
      <c r="F51" s="173">
        <v>-2234958</v>
      </c>
      <c r="I51" s="165"/>
      <c r="K51" s="165"/>
    </row>
    <row r="52" spans="2:11" ht="15">
      <c r="B52" s="186" t="s">
        <v>128</v>
      </c>
      <c r="C52" s="104">
        <v>42</v>
      </c>
      <c r="D52" s="104">
        <v>30</v>
      </c>
      <c r="E52" s="200">
        <v>16202</v>
      </c>
      <c r="F52" s="173">
        <v>9308</v>
      </c>
      <c r="I52" s="165"/>
      <c r="K52" s="165"/>
    </row>
    <row r="53" spans="2:11" s="168" customFormat="1" ht="15">
      <c r="B53" s="185" t="s">
        <v>184</v>
      </c>
      <c r="C53" s="104">
        <v>24540</v>
      </c>
      <c r="D53" s="104">
        <v>0</v>
      </c>
      <c r="E53" s="200"/>
      <c r="F53" s="173"/>
      <c r="I53" s="165"/>
      <c r="K53" s="165"/>
    </row>
    <row r="54" spans="2:11" ht="15">
      <c r="B54" s="185" t="s">
        <v>163</v>
      </c>
      <c r="C54" s="104">
        <v>0</v>
      </c>
      <c r="D54" s="104">
        <v>-15717</v>
      </c>
      <c r="E54" s="200">
        <v>-15717000</v>
      </c>
      <c r="F54" s="202"/>
      <c r="I54" s="165"/>
      <c r="K54" s="165"/>
    </row>
    <row r="55" spans="2:11" s="168" customFormat="1" ht="30" hidden="1">
      <c r="B55" s="185" t="s">
        <v>146</v>
      </c>
      <c r="C55" s="104">
        <f>ROUND(E55/1000,0)</f>
        <v>0</v>
      </c>
      <c r="D55" s="104">
        <f>ROUND(F55/1000,0)</f>
        <v>0</v>
      </c>
      <c r="E55" s="104">
        <v>0</v>
      </c>
      <c r="F55" s="173">
        <v>0</v>
      </c>
      <c r="I55" s="165"/>
      <c r="K55" s="165"/>
    </row>
    <row r="56" spans="2:11" ht="28.5">
      <c r="B56" s="193" t="s">
        <v>154</v>
      </c>
      <c r="C56" s="172">
        <f>SUM(C45:C55)</f>
        <v>41819</v>
      </c>
      <c r="D56" s="172">
        <f>SUM(D45:D55)</f>
        <v>-26541</v>
      </c>
      <c r="E56" s="107">
        <f>SUM(E45:E55)</f>
        <v>-78851798</v>
      </c>
      <c r="F56" s="172">
        <f>SUM(F45:F55)</f>
        <v>1629382</v>
      </c>
      <c r="I56" s="165"/>
      <c r="K56" s="165"/>
    </row>
    <row r="57" spans="2:11" ht="15">
      <c r="B57" s="187"/>
      <c r="C57" s="248"/>
      <c r="D57" s="249"/>
      <c r="E57" s="108"/>
      <c r="F57" s="175"/>
      <c r="I57" s="165"/>
      <c r="K57" s="165"/>
    </row>
    <row r="58" spans="2:11" ht="28.5">
      <c r="B58" s="184" t="s">
        <v>59</v>
      </c>
      <c r="C58" s="224"/>
      <c r="D58" s="247"/>
      <c r="E58" s="106"/>
      <c r="F58" s="174"/>
      <c r="I58" s="165"/>
      <c r="K58" s="165"/>
    </row>
    <row r="59" spans="2:11" ht="15" hidden="1">
      <c r="B59" s="183" t="s">
        <v>92</v>
      </c>
      <c r="C59" s="250">
        <v>0</v>
      </c>
      <c r="D59" s="251">
        <v>0</v>
      </c>
      <c r="E59" s="104">
        <v>0</v>
      </c>
      <c r="F59" s="173">
        <v>0</v>
      </c>
      <c r="I59" s="165"/>
      <c r="K59" s="165"/>
    </row>
    <row r="60" spans="2:11" s="168" customFormat="1" ht="15">
      <c r="B60" s="183" t="s">
        <v>61</v>
      </c>
      <c r="C60" s="104">
        <v>35300</v>
      </c>
      <c r="D60" s="104">
        <v>2100</v>
      </c>
      <c r="E60" s="200">
        <v>2100000</v>
      </c>
      <c r="F60" s="173">
        <v>9600170</v>
      </c>
      <c r="I60" s="165"/>
      <c r="K60" s="165"/>
    </row>
    <row r="61" spans="2:11" s="168" customFormat="1" ht="15">
      <c r="B61" s="185" t="s">
        <v>193</v>
      </c>
      <c r="C61" s="104">
        <v>-6</v>
      </c>
      <c r="D61" s="104">
        <v>-1</v>
      </c>
      <c r="E61" s="200">
        <v>-1098</v>
      </c>
      <c r="F61" s="173">
        <v>-1486</v>
      </c>
      <c r="I61" s="165"/>
      <c r="K61" s="165"/>
    </row>
    <row r="62" spans="2:11" ht="15">
      <c r="B62" s="183" t="s">
        <v>133</v>
      </c>
      <c r="C62" s="104">
        <v>-9635</v>
      </c>
      <c r="D62" s="104">
        <v>0</v>
      </c>
      <c r="E62" s="104">
        <v>0</v>
      </c>
      <c r="F62" s="173">
        <v>-11404</v>
      </c>
      <c r="I62" s="165"/>
      <c r="K62" s="165"/>
    </row>
    <row r="63" spans="2:11" s="168" customFormat="1" ht="15">
      <c r="B63" s="183" t="s">
        <v>202</v>
      </c>
      <c r="C63" s="104">
        <v>-45</v>
      </c>
      <c r="D63" s="104">
        <v>0</v>
      </c>
      <c r="E63" s="104"/>
      <c r="F63" s="173"/>
      <c r="I63" s="165"/>
      <c r="K63" s="165"/>
    </row>
    <row r="64" spans="2:11" s="168" customFormat="1" ht="15">
      <c r="B64" s="185" t="s">
        <v>194</v>
      </c>
      <c r="C64" s="104">
        <v>0</v>
      </c>
      <c r="D64" s="104">
        <v>30</v>
      </c>
      <c r="E64" s="200"/>
      <c r="F64" s="173"/>
      <c r="I64" s="165"/>
      <c r="K64" s="165"/>
    </row>
    <row r="65" spans="2:11" ht="15">
      <c r="B65" s="183" t="s">
        <v>60</v>
      </c>
      <c r="C65" s="104">
        <v>22236</v>
      </c>
      <c r="D65" s="104">
        <v>0</v>
      </c>
      <c r="E65" s="104">
        <v>0</v>
      </c>
      <c r="F65" s="173">
        <v>0</v>
      </c>
      <c r="I65" s="165"/>
      <c r="K65" s="165"/>
    </row>
    <row r="66" spans="2:11" ht="15">
      <c r="B66" s="185" t="s">
        <v>195</v>
      </c>
      <c r="C66" s="104">
        <v>-10000</v>
      </c>
      <c r="D66" s="104">
        <v>-10444</v>
      </c>
      <c r="E66" s="200">
        <v>-10440000</v>
      </c>
      <c r="F66" s="173">
        <v>-10000000</v>
      </c>
      <c r="I66" s="165"/>
      <c r="K66" s="165"/>
    </row>
    <row r="67" spans="2:11" s="168" customFormat="1" ht="15" hidden="1">
      <c r="B67" s="185" t="s">
        <v>171</v>
      </c>
      <c r="C67" s="104"/>
      <c r="D67" s="104">
        <v>0</v>
      </c>
      <c r="E67" s="200">
        <v>28076</v>
      </c>
      <c r="F67" s="173">
        <v>22953</v>
      </c>
      <c r="I67" s="165"/>
      <c r="K67" s="165"/>
    </row>
    <row r="68" spans="2:11" s="168" customFormat="1" ht="15" hidden="1">
      <c r="B68" s="185" t="s">
        <v>159</v>
      </c>
      <c r="C68" s="104">
        <f>ROUND(E68/1000,0)</f>
        <v>0</v>
      </c>
      <c r="D68" s="104"/>
      <c r="E68" s="104"/>
      <c r="F68" s="173"/>
      <c r="I68" s="165"/>
      <c r="K68" s="165"/>
    </row>
    <row r="69" spans="2:11" s="168" customFormat="1" ht="15" hidden="1">
      <c r="B69" s="185" t="s">
        <v>160</v>
      </c>
      <c r="C69" s="104">
        <v>0</v>
      </c>
      <c r="D69" s="104">
        <v>0</v>
      </c>
      <c r="E69" s="200">
        <v>0</v>
      </c>
      <c r="F69" s="173">
        <v>-2557744</v>
      </c>
      <c r="I69" s="165"/>
      <c r="K69" s="165"/>
    </row>
    <row r="70" spans="2:11" ht="28.5">
      <c r="B70" s="193" t="s">
        <v>157</v>
      </c>
      <c r="C70" s="172">
        <f>SUM(C59:C69)</f>
        <v>37850</v>
      </c>
      <c r="D70" s="172">
        <f>SUM(D59:D69)</f>
        <v>-8315</v>
      </c>
      <c r="E70" s="107">
        <f>SUM(E59:E68)</f>
        <v>-8313022</v>
      </c>
      <c r="F70" s="172">
        <f>SUM(F59:F69)</f>
        <v>-2947511</v>
      </c>
      <c r="I70" s="165"/>
      <c r="K70" s="165"/>
    </row>
    <row r="71" spans="2:11" ht="15">
      <c r="B71" s="184"/>
      <c r="C71" s="224"/>
      <c r="D71" s="247"/>
      <c r="E71" s="106"/>
      <c r="F71" s="174"/>
      <c r="I71" s="165"/>
      <c r="K71" s="165"/>
    </row>
    <row r="72" spans="2:11" ht="28.5">
      <c r="B72" s="193" t="s">
        <v>155</v>
      </c>
      <c r="C72" s="172">
        <f>C70+C56+C43</f>
        <v>113053</v>
      </c>
      <c r="D72" s="172">
        <f>D70+D56+D43</f>
        <v>50021</v>
      </c>
      <c r="E72" s="107">
        <f>E70+E56+E43</f>
        <v>-12096983</v>
      </c>
      <c r="F72" s="172">
        <f>F70+F56+F43</f>
        <v>9937392</v>
      </c>
      <c r="I72" s="165"/>
      <c r="K72" s="165"/>
    </row>
    <row r="73" spans="2:11" ht="15">
      <c r="B73" s="183" t="s">
        <v>62</v>
      </c>
      <c r="C73" s="104">
        <v>4715</v>
      </c>
      <c r="D73" s="252">
        <v>9754</v>
      </c>
      <c r="E73" s="200">
        <v>-1077127</v>
      </c>
      <c r="F73" s="173">
        <v>-6029487</v>
      </c>
      <c r="I73" s="165"/>
      <c r="K73" s="165"/>
    </row>
    <row r="74" spans="2:11" ht="15">
      <c r="B74" s="185" t="s">
        <v>158</v>
      </c>
      <c r="C74" s="104">
        <v>131338</v>
      </c>
      <c r="D74" s="252">
        <v>213793</v>
      </c>
      <c r="E74" s="200">
        <v>213792725</v>
      </c>
      <c r="F74" s="173">
        <v>185753592</v>
      </c>
      <c r="I74" s="165"/>
      <c r="K74" s="165"/>
    </row>
    <row r="75" spans="2:11" ht="15.75" thickBot="1">
      <c r="B75" s="196" t="s">
        <v>168</v>
      </c>
      <c r="C75" s="176">
        <f>C72+C73+C74</f>
        <v>249106</v>
      </c>
      <c r="D75" s="176">
        <f>D72+D73+D74</f>
        <v>273568</v>
      </c>
      <c r="E75" s="109">
        <f>E72+E73+E74</f>
        <v>200618615</v>
      </c>
      <c r="F75" s="176">
        <f>F72+F73+F74</f>
        <v>189661497</v>
      </c>
      <c r="I75" s="165"/>
      <c r="K75" s="165"/>
    </row>
    <row r="76" spans="3:6" s="177" customFormat="1" ht="15">
      <c r="C76" s="225"/>
      <c r="D76" s="225"/>
      <c r="E76" s="178">
        <f>'ф.1'!B15-'ф.3'!E75</f>
        <v>-200369509</v>
      </c>
      <c r="F76" s="179"/>
    </row>
    <row r="77" spans="2:6" s="145" customFormat="1" ht="15">
      <c r="B77" s="197" t="str">
        <f>'ф.2'!A73</f>
        <v>* неаудированный </v>
      </c>
      <c r="C77" s="143"/>
      <c r="D77" s="143"/>
      <c r="E77" s="144"/>
      <c r="F77" s="144"/>
    </row>
    <row r="78" spans="2:6" ht="15">
      <c r="B78" s="18"/>
      <c r="C78" s="18"/>
      <c r="D78" s="18"/>
      <c r="E78" s="110"/>
      <c r="F78" s="110"/>
    </row>
    <row r="79" spans="2:5" ht="15">
      <c r="B79" s="19" t="str">
        <f>'ф.1'!A70</f>
        <v>Председатель Правления                                              </v>
      </c>
      <c r="C79" s="19" t="str">
        <f>'ф.1'!B70</f>
        <v>Вокурка У.</v>
      </c>
      <c r="D79" s="19"/>
      <c r="E79" s="19" t="str">
        <f>'ф.1'!B70</f>
        <v>Вокурка У.</v>
      </c>
    </row>
    <row r="80" spans="2:5" ht="15">
      <c r="B80" s="19"/>
      <c r="C80" s="19"/>
      <c r="D80" s="19"/>
      <c r="E80" s="111"/>
    </row>
    <row r="81" spans="2:5" ht="15">
      <c r="B81" s="19" t="s">
        <v>64</v>
      </c>
      <c r="C81" s="19"/>
      <c r="D81" s="19"/>
      <c r="E81" s="111"/>
    </row>
    <row r="82" spans="2:5" ht="15">
      <c r="B82" s="19" t="str">
        <f>'ф.1'!A73</f>
        <v>Главный бухгалтер                                                        </v>
      </c>
      <c r="C82" s="19" t="str">
        <f>'ф.1'!B73</f>
        <v>Багаутдинова Н.М.</v>
      </c>
      <c r="D82" s="19"/>
      <c r="E82" s="19" t="str">
        <f>'ф.1'!B73</f>
        <v>Багаутдинова Н.М.</v>
      </c>
    </row>
    <row r="83" spans="2:5" ht="15">
      <c r="B83" s="20"/>
      <c r="C83" s="20"/>
      <c r="D83" s="20"/>
      <c r="E83" s="112"/>
    </row>
    <row r="84" spans="2:5" ht="10.5" customHeight="1">
      <c r="B84" s="17"/>
      <c r="E84" s="99"/>
    </row>
    <row r="85" spans="2:10" s="79" customFormat="1" ht="13.5" customHeight="1">
      <c r="B85" s="74" t="s">
        <v>106</v>
      </c>
      <c r="C85" s="217"/>
      <c r="D85" s="217"/>
      <c r="E85" s="17"/>
      <c r="F85" s="17"/>
      <c r="I85" s="80"/>
      <c r="J85" s="80"/>
    </row>
    <row r="86" spans="2:10" s="79" customFormat="1" ht="15" customHeight="1">
      <c r="B86" s="75" t="s">
        <v>107</v>
      </c>
      <c r="C86" s="218"/>
      <c r="D86" s="218"/>
      <c r="E86" s="17"/>
      <c r="F86" s="17"/>
      <c r="I86" s="80"/>
      <c r="J86" s="80"/>
    </row>
    <row r="87" spans="2:10" s="79" customFormat="1" ht="16.5">
      <c r="B87" s="76" t="s">
        <v>108</v>
      </c>
      <c r="C87" s="219"/>
      <c r="D87" s="219"/>
      <c r="E87" s="17"/>
      <c r="F87" s="17"/>
      <c r="I87" s="80"/>
      <c r="J87" s="80"/>
    </row>
  </sheetData>
  <sheetProtection/>
  <mergeCells count="7">
    <mergeCell ref="B11:F11"/>
    <mergeCell ref="B7:F7"/>
    <mergeCell ref="B9:F9"/>
    <mergeCell ref="B10:F10"/>
    <mergeCell ref="B4:E4"/>
    <mergeCell ref="B5:E5"/>
    <mergeCell ref="B8:F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72"/>
  <sheetViews>
    <sheetView zoomScale="71" zoomScaleNormal="71" workbookViewId="0" topLeftCell="A1">
      <selection activeCell="J6" sqref="J6"/>
    </sheetView>
  </sheetViews>
  <sheetFormatPr defaultColWidth="9.140625" defaultRowHeight="15"/>
  <cols>
    <col min="1" max="1" width="70.28125" style="50" customWidth="1"/>
    <col min="2" max="3" width="23.8515625" style="95" customWidth="1"/>
    <col min="4" max="4" width="23.8515625" style="95" hidden="1" customWidth="1"/>
    <col min="5" max="5" width="23.8515625" style="95" customWidth="1"/>
    <col min="6" max="6" width="29.00390625" style="95" customWidth="1"/>
    <col min="7" max="8" width="29.00390625" style="95" hidden="1" customWidth="1"/>
    <col min="9" max="12" width="23.8515625" style="95" customWidth="1"/>
    <col min="13" max="14" width="23.8515625" style="95" hidden="1" customWidth="1"/>
    <col min="15" max="15" width="23.8515625" style="29" customWidth="1"/>
    <col min="16" max="16" width="13.7109375" style="130" bestFit="1" customWidth="1"/>
    <col min="17" max="17" width="13.7109375" style="29" bestFit="1" customWidth="1"/>
    <col min="18" max="16384" width="9.140625" style="22" customWidth="1"/>
  </cols>
  <sheetData>
    <row r="1" spans="1:15" ht="15.75">
      <c r="A1" s="63" t="str">
        <f>'[2]ф.1 конс.'!A1</f>
        <v>БИН                920140000084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85">
        <f>'ф.1'!C1</f>
        <v>0</v>
      </c>
    </row>
    <row r="2" spans="1:14" ht="15.75">
      <c r="A2" s="63" t="str">
        <f>'[2]ф.1 конс.'!A2</f>
        <v>Код ОКПО             19924793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>
      <c r="A3" s="63" t="str">
        <f>'[2]ф.1 конс.'!A3</f>
        <v>БИК                   TSESKZKA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21" customHeight="1">
      <c r="A4" s="300" t="str">
        <f>'[2]ф.1 конс.'!A4</f>
        <v>ИИК KZ48125KZT1001300336 в НБ РК</v>
      </c>
      <c r="B4" s="300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.75" customHeight="1">
      <c r="A5" s="300" t="str">
        <f>'[2]ф.1 конс.'!A5</f>
        <v>Место нахождения головного банка: г.Астана, район Есиль, ул. Сығанақ, д. 24</v>
      </c>
      <c r="B5" s="30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5.75">
      <c r="A6" s="23"/>
      <c r="B6" s="128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7" s="24" customFormat="1" ht="15.75">
      <c r="A7" s="303" t="s">
        <v>66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39"/>
      <c r="Q7" s="129"/>
    </row>
    <row r="8" spans="1:17" s="24" customFormat="1" ht="15.75">
      <c r="A8" s="303" t="s">
        <v>67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139"/>
      <c r="Q8" s="129"/>
    </row>
    <row r="9" spans="1:15" ht="15.75">
      <c r="A9" s="304" t="s">
        <v>68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</row>
    <row r="10" spans="1:15" ht="15.75">
      <c r="A10" s="302" t="s">
        <v>200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</row>
    <row r="11" spans="1:15" ht="15.75">
      <c r="A11" s="301" t="str">
        <f>'ф.1'!A11</f>
        <v>(без учета заключительных оборотов)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1:17" ht="16.5" thickBot="1">
      <c r="A12" s="25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01" t="str">
        <f>'ф.1'!C12</f>
        <v>млн тенге</v>
      </c>
      <c r="Q12" s="130"/>
    </row>
    <row r="13" spans="1:15" ht="129.75" customHeight="1" thickBot="1">
      <c r="A13" s="51"/>
      <c r="B13" s="89" t="s">
        <v>69</v>
      </c>
      <c r="C13" s="94" t="s">
        <v>20</v>
      </c>
      <c r="D13" s="94" t="s">
        <v>70</v>
      </c>
      <c r="E13" s="89" t="s">
        <v>117</v>
      </c>
      <c r="F13" s="89" t="s">
        <v>178</v>
      </c>
      <c r="G13" s="89" t="s">
        <v>178</v>
      </c>
      <c r="H13" s="89" t="s">
        <v>21</v>
      </c>
      <c r="I13" s="89" t="s">
        <v>71</v>
      </c>
      <c r="J13" s="89" t="s">
        <v>72</v>
      </c>
      <c r="K13" s="89" t="s">
        <v>78</v>
      </c>
      <c r="L13" s="89" t="s">
        <v>26</v>
      </c>
      <c r="M13" s="131" t="s">
        <v>22</v>
      </c>
      <c r="N13" s="131" t="s">
        <v>23</v>
      </c>
      <c r="O13" s="132" t="s">
        <v>24</v>
      </c>
    </row>
    <row r="14" spans="1:16" s="133" customFormat="1" ht="15.75">
      <c r="A14" s="155">
        <v>1</v>
      </c>
      <c r="B14" s="156">
        <v>2</v>
      </c>
      <c r="C14" s="156">
        <v>3</v>
      </c>
      <c r="D14" s="156">
        <v>4</v>
      </c>
      <c r="E14" s="156" t="s">
        <v>130</v>
      </c>
      <c r="F14" s="156" t="s">
        <v>131</v>
      </c>
      <c r="G14" s="156" t="s">
        <v>94</v>
      </c>
      <c r="H14" s="156" t="s">
        <v>94</v>
      </c>
      <c r="I14" s="156" t="s">
        <v>94</v>
      </c>
      <c r="J14" s="156" t="s">
        <v>95</v>
      </c>
      <c r="K14" s="156" t="s">
        <v>96</v>
      </c>
      <c r="L14" s="156" t="s">
        <v>97</v>
      </c>
      <c r="M14" s="156" t="s">
        <v>97</v>
      </c>
      <c r="N14" s="157" t="s">
        <v>136</v>
      </c>
      <c r="O14" s="158" t="s">
        <v>136</v>
      </c>
      <c r="P14" s="140"/>
    </row>
    <row r="15" spans="1:16" s="29" customFormat="1" ht="15.75">
      <c r="A15" s="159" t="s">
        <v>190</v>
      </c>
      <c r="B15" s="26">
        <v>91031</v>
      </c>
      <c r="C15" s="26">
        <v>234</v>
      </c>
      <c r="D15" s="26">
        <f>12191*0</f>
        <v>0</v>
      </c>
      <c r="E15" s="26">
        <v>-359</v>
      </c>
      <c r="F15" s="26">
        <v>0</v>
      </c>
      <c r="G15" s="26">
        <v>0</v>
      </c>
      <c r="H15" s="26">
        <v>0</v>
      </c>
      <c r="I15" s="26">
        <v>1244</v>
      </c>
      <c r="J15" s="26">
        <v>12241</v>
      </c>
      <c r="K15" s="26">
        <v>16631</v>
      </c>
      <c r="L15" s="26">
        <v>47312</v>
      </c>
      <c r="M15" s="26">
        <f>L15+J15+I15+E15+D15+C15+B15+K15</f>
        <v>168334</v>
      </c>
      <c r="N15" s="26">
        <v>0</v>
      </c>
      <c r="O15" s="28">
        <f>M15+N15</f>
        <v>168334</v>
      </c>
      <c r="P15" s="130"/>
    </row>
    <row r="16" spans="1:16" s="29" customFormat="1" ht="15.75">
      <c r="A16" s="30" t="s">
        <v>73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6"/>
      <c r="O16" s="28"/>
      <c r="P16" s="130"/>
    </row>
    <row r="17" spans="1:16" s="29" customFormat="1" ht="15.75">
      <c r="A17" s="31" t="s">
        <v>164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f>'ф.2'!C51</f>
        <v>16813</v>
      </c>
      <c r="M17" s="27">
        <f>L17</f>
        <v>16813</v>
      </c>
      <c r="N17" s="27">
        <f>'ф.2'!C52</f>
        <v>0</v>
      </c>
      <c r="O17" s="28">
        <f>N17+M17</f>
        <v>16813</v>
      </c>
      <c r="P17" s="130"/>
    </row>
    <row r="18" spans="1:16" s="29" customFormat="1" ht="15.75">
      <c r="A18" s="30" t="s">
        <v>74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6"/>
      <c r="M18" s="27"/>
      <c r="N18" s="26"/>
      <c r="O18" s="28"/>
      <c r="P18" s="130"/>
    </row>
    <row r="19" spans="1:16" s="29" customFormat="1" ht="31.5">
      <c r="A19" s="32" t="s">
        <v>79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6"/>
      <c r="M19" s="27"/>
      <c r="N19" s="26"/>
      <c r="O19" s="28"/>
      <c r="P19" s="130"/>
    </row>
    <row r="20" spans="1:16" s="29" customFormat="1" ht="31.5">
      <c r="A20" s="31" t="s">
        <v>75</v>
      </c>
      <c r="B20" s="27">
        <v>0</v>
      </c>
      <c r="C20" s="27">
        <v>0</v>
      </c>
      <c r="D20" s="27">
        <v>0</v>
      </c>
      <c r="E20" s="27">
        <f>'ф.2'!C57</f>
        <v>430</v>
      </c>
      <c r="F20" s="27">
        <v>0</v>
      </c>
      <c r="G20" s="27">
        <v>0</v>
      </c>
      <c r="H20" s="27">
        <v>0</v>
      </c>
      <c r="I20" s="33">
        <v>0</v>
      </c>
      <c r="J20" s="33">
        <v>0</v>
      </c>
      <c r="K20" s="33">
        <v>0</v>
      </c>
      <c r="L20" s="26">
        <v>0</v>
      </c>
      <c r="M20" s="27">
        <f>SUM(B20:L20)</f>
        <v>430</v>
      </c>
      <c r="N20" s="27">
        <v>0</v>
      </c>
      <c r="O20" s="28">
        <f>M20+N20</f>
        <v>430</v>
      </c>
      <c r="P20" s="130"/>
    </row>
    <row r="21" spans="1:16" s="29" customFormat="1" ht="47.25">
      <c r="A21" s="31" t="s">
        <v>150</v>
      </c>
      <c r="B21" s="27">
        <v>0</v>
      </c>
      <c r="C21" s="27">
        <v>0</v>
      </c>
      <c r="D21" s="27">
        <v>0</v>
      </c>
      <c r="E21" s="33">
        <f>'ф.2'!C58</f>
        <v>57</v>
      </c>
      <c r="F21" s="27">
        <v>0</v>
      </c>
      <c r="G21" s="27">
        <v>0</v>
      </c>
      <c r="H21" s="27">
        <v>0</v>
      </c>
      <c r="I21" s="33">
        <v>0</v>
      </c>
      <c r="J21" s="33">
        <v>0</v>
      </c>
      <c r="K21" s="33">
        <v>0</v>
      </c>
      <c r="L21" s="26">
        <v>0</v>
      </c>
      <c r="M21" s="27">
        <f>SUM(B21:L21)</f>
        <v>57</v>
      </c>
      <c r="N21" s="26">
        <v>0</v>
      </c>
      <c r="O21" s="28">
        <f>M21+N21</f>
        <v>57</v>
      </c>
      <c r="P21" s="130"/>
    </row>
    <row r="22" spans="1:16" s="29" customFormat="1" ht="31.5">
      <c r="A22" s="31" t="s">
        <v>141</v>
      </c>
      <c r="B22" s="27">
        <v>0</v>
      </c>
      <c r="C22" s="27">
        <v>0</v>
      </c>
      <c r="D22" s="27">
        <v>0</v>
      </c>
      <c r="E22" s="33"/>
      <c r="F22" s="27">
        <v>0</v>
      </c>
      <c r="G22" s="27">
        <v>0</v>
      </c>
      <c r="H22" s="27">
        <v>0</v>
      </c>
      <c r="I22" s="33">
        <f>'ф.2'!C64</f>
        <v>1395</v>
      </c>
      <c r="J22" s="33">
        <v>0</v>
      </c>
      <c r="K22" s="33">
        <v>0</v>
      </c>
      <c r="L22" s="26">
        <v>0</v>
      </c>
      <c r="M22" s="27">
        <f>SUM(B22:L22)</f>
        <v>1395</v>
      </c>
      <c r="N22" s="27">
        <v>0</v>
      </c>
      <c r="O22" s="28">
        <f>M22+N22</f>
        <v>1395</v>
      </c>
      <c r="P22" s="130"/>
    </row>
    <row r="23" spans="1:16" s="29" customFormat="1" ht="33.75" customHeight="1" thickBot="1">
      <c r="A23" s="34" t="s">
        <v>80</v>
      </c>
      <c r="B23" s="27">
        <v>0</v>
      </c>
      <c r="C23" s="27">
        <v>0</v>
      </c>
      <c r="D23" s="27">
        <v>0</v>
      </c>
      <c r="E23" s="262">
        <f aca="true" t="shared" si="0" ref="E23:N23">SUM(E20:E22)</f>
        <v>487</v>
      </c>
      <c r="F23" s="262">
        <f t="shared" si="0"/>
        <v>0</v>
      </c>
      <c r="G23" s="262">
        <f t="shared" si="0"/>
        <v>0</v>
      </c>
      <c r="H23" s="262">
        <f t="shared" si="0"/>
        <v>0</v>
      </c>
      <c r="I23" s="262">
        <f t="shared" si="0"/>
        <v>1395</v>
      </c>
      <c r="J23" s="262">
        <f t="shared" si="0"/>
        <v>0</v>
      </c>
      <c r="K23" s="262">
        <f t="shared" si="0"/>
        <v>0</v>
      </c>
      <c r="L23" s="262">
        <f t="shared" si="0"/>
        <v>0</v>
      </c>
      <c r="M23" s="262">
        <f t="shared" si="0"/>
        <v>1882</v>
      </c>
      <c r="N23" s="262">
        <f t="shared" si="0"/>
        <v>0</v>
      </c>
      <c r="O23" s="28">
        <f>M23+N23</f>
        <v>1882</v>
      </c>
      <c r="P23" s="130"/>
    </row>
    <row r="24" spans="1:16" s="29" customFormat="1" ht="21.75" customHeight="1" thickBot="1">
      <c r="A24" s="36" t="s">
        <v>81</v>
      </c>
      <c r="B24" s="37">
        <v>0</v>
      </c>
      <c r="C24" s="37">
        <v>0</v>
      </c>
      <c r="D24" s="37">
        <v>0</v>
      </c>
      <c r="E24" s="37">
        <f aca="true" t="shared" si="1" ref="E24:O24">E23</f>
        <v>487</v>
      </c>
      <c r="F24" s="37">
        <f aca="true" t="shared" si="2" ref="F24:H25">F23</f>
        <v>0</v>
      </c>
      <c r="G24" s="37">
        <f t="shared" si="2"/>
        <v>0</v>
      </c>
      <c r="H24" s="37">
        <f t="shared" si="2"/>
        <v>0</v>
      </c>
      <c r="I24" s="37">
        <f t="shared" si="1"/>
        <v>1395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1882</v>
      </c>
      <c r="N24" s="37">
        <f t="shared" si="1"/>
        <v>0</v>
      </c>
      <c r="O24" s="38">
        <f t="shared" si="1"/>
        <v>1882</v>
      </c>
      <c r="P24" s="130"/>
    </row>
    <row r="25" spans="1:16" s="29" customFormat="1" ht="16.5" customHeight="1" thickBot="1">
      <c r="A25" s="160" t="s">
        <v>166</v>
      </c>
      <c r="B25" s="39">
        <v>0</v>
      </c>
      <c r="C25" s="39">
        <v>0</v>
      </c>
      <c r="D25" s="39">
        <v>0</v>
      </c>
      <c r="E25" s="39">
        <f>E24</f>
        <v>487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>I24</f>
        <v>1395</v>
      </c>
      <c r="J25" s="39">
        <f>J24</f>
        <v>0</v>
      </c>
      <c r="K25" s="39">
        <f>K24</f>
        <v>0</v>
      </c>
      <c r="L25" s="39">
        <f>L24+L17</f>
        <v>16813</v>
      </c>
      <c r="M25" s="39">
        <f>M24+M17</f>
        <v>18695</v>
      </c>
      <c r="N25" s="39">
        <f>N24+N17</f>
        <v>0</v>
      </c>
      <c r="O25" s="38">
        <f>O24+O17</f>
        <v>18695</v>
      </c>
      <c r="P25" s="130"/>
    </row>
    <row r="26" spans="1:16" s="29" customFormat="1" ht="31.5">
      <c r="A26" s="161" t="s">
        <v>76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63"/>
      <c r="P26" s="130"/>
    </row>
    <row r="27" spans="1:16" s="29" customFormat="1" ht="15.75">
      <c r="A27" s="162" t="s">
        <v>63</v>
      </c>
      <c r="B27" s="27">
        <v>2100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f>L27+K27+J27+I27+E27+D27+C27+B27</f>
        <v>2100</v>
      </c>
      <c r="N27" s="26">
        <v>0</v>
      </c>
      <c r="O27" s="28">
        <f aca="true" t="shared" si="3" ref="O27:O32">M27+N27</f>
        <v>2100</v>
      </c>
      <c r="P27" s="130"/>
    </row>
    <row r="28" spans="1:16" s="29" customFormat="1" ht="16.5" customHeight="1">
      <c r="A28" s="31" t="s">
        <v>197</v>
      </c>
      <c r="B28" s="27">
        <v>29</v>
      </c>
      <c r="C28" s="27">
        <f>ROUND(19/1000,0)*0</f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f>B28+L28+J28+I28+E28+D28+C28</f>
        <v>29</v>
      </c>
      <c r="N28" s="26">
        <v>0</v>
      </c>
      <c r="O28" s="28">
        <f t="shared" si="3"/>
        <v>29</v>
      </c>
      <c r="P28" s="130"/>
    </row>
    <row r="29" spans="1:16" s="29" customFormat="1" ht="16.5" customHeight="1">
      <c r="A29" s="31" t="s">
        <v>189</v>
      </c>
      <c r="B29" s="60">
        <v>0</v>
      </c>
      <c r="C29" s="60">
        <v>0</v>
      </c>
      <c r="D29" s="60"/>
      <c r="E29" s="60">
        <v>0</v>
      </c>
      <c r="F29" s="27">
        <v>0</v>
      </c>
      <c r="G29" s="27">
        <v>0</v>
      </c>
      <c r="H29" s="27">
        <v>0</v>
      </c>
      <c r="I29" s="60">
        <v>0</v>
      </c>
      <c r="J29" s="60">
        <v>0</v>
      </c>
      <c r="K29" s="60">
        <v>0</v>
      </c>
      <c r="L29" s="60">
        <v>-188</v>
      </c>
      <c r="M29" s="27">
        <f>B29+L29+J29+I29+E29+D29+C29</f>
        <v>-188</v>
      </c>
      <c r="N29" s="60">
        <v>0</v>
      </c>
      <c r="O29" s="28">
        <f t="shared" si="3"/>
        <v>-188</v>
      </c>
      <c r="P29" s="130"/>
    </row>
    <row r="30" spans="1:16" s="29" customFormat="1" ht="15.75">
      <c r="A30" s="55" t="s">
        <v>93</v>
      </c>
      <c r="B30" s="227">
        <f>SUM(B27:B29)</f>
        <v>2129</v>
      </c>
      <c r="C30" s="227">
        <f>SUM(C27:C29)</f>
        <v>0</v>
      </c>
      <c r="D30" s="227">
        <f aca="true" t="shared" si="4" ref="D30:K30">D27+D28</f>
        <v>0</v>
      </c>
      <c r="E30" s="227">
        <f t="shared" si="4"/>
        <v>0</v>
      </c>
      <c r="F30" s="27">
        <v>0</v>
      </c>
      <c r="G30" s="27">
        <v>0</v>
      </c>
      <c r="H30" s="27">
        <v>0</v>
      </c>
      <c r="I30" s="227">
        <f t="shared" si="4"/>
        <v>0</v>
      </c>
      <c r="J30" s="227">
        <f t="shared" si="4"/>
        <v>0</v>
      </c>
      <c r="K30" s="227">
        <f t="shared" si="4"/>
        <v>0</v>
      </c>
      <c r="L30" s="227">
        <f>L27+L28+L29</f>
        <v>-188</v>
      </c>
      <c r="M30" s="227">
        <f>SUM(M27:M29)</f>
        <v>1941</v>
      </c>
      <c r="N30" s="227">
        <f>N27+N28+N29</f>
        <v>0</v>
      </c>
      <c r="O30" s="59">
        <f t="shared" si="3"/>
        <v>1941</v>
      </c>
      <c r="P30" s="130"/>
    </row>
    <row r="31" spans="1:16" s="29" customFormat="1" ht="15.75" hidden="1">
      <c r="A31" s="31" t="s">
        <v>129</v>
      </c>
      <c r="B31" s="26">
        <v>0</v>
      </c>
      <c r="C31" s="26">
        <v>0</v>
      </c>
      <c r="D31" s="27">
        <f>-3704*0</f>
        <v>0</v>
      </c>
      <c r="E31" s="26">
        <v>0</v>
      </c>
      <c r="F31" s="27">
        <v>0</v>
      </c>
      <c r="G31" s="27">
        <v>0</v>
      </c>
      <c r="H31" s="27">
        <v>0</v>
      </c>
      <c r="I31" s="26">
        <v>0</v>
      </c>
      <c r="J31" s="26">
        <v>0</v>
      </c>
      <c r="K31" s="26">
        <v>0</v>
      </c>
      <c r="L31" s="27">
        <v>0</v>
      </c>
      <c r="M31" s="26">
        <f>L31+J31+E31+I31+D31+C31+B31</f>
        <v>0</v>
      </c>
      <c r="N31" s="26">
        <v>0</v>
      </c>
      <c r="O31" s="28">
        <f t="shared" si="3"/>
        <v>0</v>
      </c>
      <c r="P31" s="130"/>
    </row>
    <row r="32" spans="1:16" s="29" customFormat="1" ht="15.75">
      <c r="A32" s="163" t="s">
        <v>182</v>
      </c>
      <c r="B32" s="26">
        <v>0</v>
      </c>
      <c r="C32" s="26">
        <v>0</v>
      </c>
      <c r="D32" s="26">
        <v>0</v>
      </c>
      <c r="E32" s="26">
        <v>0</v>
      </c>
      <c r="F32" s="27">
        <v>0</v>
      </c>
      <c r="G32" s="27">
        <v>0</v>
      </c>
      <c r="H32" s="27">
        <v>0</v>
      </c>
      <c r="I32" s="26">
        <v>0</v>
      </c>
      <c r="J32" s="27">
        <v>-99</v>
      </c>
      <c r="K32" s="27"/>
      <c r="L32" s="27">
        <f>-J32</f>
        <v>99</v>
      </c>
      <c r="M32" s="26">
        <f>J32+L32</f>
        <v>0</v>
      </c>
      <c r="N32" s="26">
        <v>0</v>
      </c>
      <c r="O32" s="26">
        <f t="shared" si="3"/>
        <v>0</v>
      </c>
      <c r="P32" s="130"/>
    </row>
    <row r="33" spans="1:16" s="29" customFormat="1" ht="15.75" customHeight="1" thickBot="1">
      <c r="A33" s="164" t="s">
        <v>203</v>
      </c>
      <c r="B33" s="264">
        <f>B15+B25+B30</f>
        <v>93160</v>
      </c>
      <c r="C33" s="264">
        <f>C15+C25+C30</f>
        <v>234</v>
      </c>
      <c r="D33" s="264">
        <f>D15+D25+D30+D31</f>
        <v>0</v>
      </c>
      <c r="E33" s="264">
        <f>E15+E25+E30</f>
        <v>128</v>
      </c>
      <c r="F33" s="264">
        <f>F15+F25+F30</f>
        <v>0</v>
      </c>
      <c r="G33" s="264">
        <f>G15+G25+G30</f>
        <v>0</v>
      </c>
      <c r="H33" s="264">
        <f>H15+H25+H30</f>
        <v>0</v>
      </c>
      <c r="I33" s="264">
        <f>I15+I25+I30</f>
        <v>2639</v>
      </c>
      <c r="J33" s="264">
        <f>J15+J25+J30+J32</f>
        <v>12142</v>
      </c>
      <c r="K33" s="264">
        <f>K15+K25+K30</f>
        <v>16631</v>
      </c>
      <c r="L33" s="264">
        <f>L15+L25+L30+L31+L32+L29*0</f>
        <v>64036</v>
      </c>
      <c r="M33" s="264">
        <f>M15+M25+M30+M31</f>
        <v>188970</v>
      </c>
      <c r="N33" s="264">
        <f>N15+N25+N30</f>
        <v>0</v>
      </c>
      <c r="O33" s="265">
        <f>O15+O25+O30+O31</f>
        <v>188970</v>
      </c>
      <c r="P33" s="130"/>
    </row>
    <row r="34" spans="1:16" s="29" customFormat="1" ht="15.75" customHeight="1" thickBo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130"/>
    </row>
    <row r="35" spans="1:16" s="29" customFormat="1" ht="15.75">
      <c r="A35" s="56" t="s">
        <v>191</v>
      </c>
      <c r="B35" s="54">
        <f>90693+2500-176</f>
        <v>93017</v>
      </c>
      <c r="C35" s="54">
        <v>234</v>
      </c>
      <c r="D35" s="54">
        <f>8487*0</f>
        <v>0</v>
      </c>
      <c r="E35" s="54">
        <v>-376</v>
      </c>
      <c r="F35" s="54">
        <v>0</v>
      </c>
      <c r="G35" s="54">
        <v>0</v>
      </c>
      <c r="H35" s="54">
        <v>0</v>
      </c>
      <c r="I35" s="54">
        <v>2242</v>
      </c>
      <c r="J35" s="54">
        <v>12142</v>
      </c>
      <c r="K35" s="54">
        <f>K33</f>
        <v>16631</v>
      </c>
      <c r="L35" s="54">
        <v>98012</v>
      </c>
      <c r="M35" s="54">
        <f>SUM(B35:L35)</f>
        <v>221902</v>
      </c>
      <c r="N35" s="54">
        <v>0</v>
      </c>
      <c r="O35" s="263">
        <f>N35+M35</f>
        <v>221902</v>
      </c>
      <c r="P35" s="130"/>
    </row>
    <row r="36" spans="1:16" s="29" customFormat="1" ht="15.75">
      <c r="A36" s="228" t="s">
        <v>175</v>
      </c>
      <c r="B36" s="227">
        <v>0</v>
      </c>
      <c r="C36" s="227">
        <v>0</v>
      </c>
      <c r="D36" s="227"/>
      <c r="E36" s="60">
        <v>0</v>
      </c>
      <c r="F36" s="60">
        <v>87</v>
      </c>
      <c r="G36" s="60">
        <v>0</v>
      </c>
      <c r="H36" s="60">
        <f>2*0</f>
        <v>0</v>
      </c>
      <c r="I36" s="227">
        <v>0</v>
      </c>
      <c r="J36" s="60">
        <f>-11983-17*0</f>
        <v>-11983</v>
      </c>
      <c r="K36" s="227">
        <v>0</v>
      </c>
      <c r="L36" s="60">
        <f>-27833-17+1+2</f>
        <v>-27847</v>
      </c>
      <c r="M36" s="27">
        <f>SUM(B36:L36)</f>
        <v>-39743</v>
      </c>
      <c r="N36" s="227">
        <v>0</v>
      </c>
      <c r="O36" s="28">
        <f>M36+N36</f>
        <v>-39743</v>
      </c>
      <c r="P36" s="130"/>
    </row>
    <row r="37" spans="1:16" s="230" customFormat="1" ht="21" customHeight="1">
      <c r="A37" s="41" t="s">
        <v>188</v>
      </c>
      <c r="B37" s="227">
        <f>B35+B36</f>
        <v>93017</v>
      </c>
      <c r="C37" s="227">
        <f>C35+C36</f>
        <v>234</v>
      </c>
      <c r="D37" s="227"/>
      <c r="E37" s="227">
        <f aca="true" t="shared" si="5" ref="E37:O37">E35+E36</f>
        <v>-376</v>
      </c>
      <c r="F37" s="227">
        <f t="shared" si="5"/>
        <v>87</v>
      </c>
      <c r="G37" s="227">
        <f t="shared" si="5"/>
        <v>0</v>
      </c>
      <c r="H37" s="227">
        <f t="shared" si="5"/>
        <v>0</v>
      </c>
      <c r="I37" s="227">
        <f t="shared" si="5"/>
        <v>2242</v>
      </c>
      <c r="J37" s="227">
        <f t="shared" si="5"/>
        <v>159</v>
      </c>
      <c r="K37" s="227">
        <f t="shared" si="5"/>
        <v>16631</v>
      </c>
      <c r="L37" s="227">
        <f t="shared" si="5"/>
        <v>70165</v>
      </c>
      <c r="M37" s="227">
        <f t="shared" si="5"/>
        <v>182159</v>
      </c>
      <c r="N37" s="227">
        <f t="shared" si="5"/>
        <v>0</v>
      </c>
      <c r="O37" s="59">
        <f t="shared" si="5"/>
        <v>182159</v>
      </c>
      <c r="P37" s="229"/>
    </row>
    <row r="38" spans="1:16" s="29" customFormat="1" ht="15.75">
      <c r="A38" s="30" t="s">
        <v>73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8"/>
      <c r="P38" s="130"/>
    </row>
    <row r="39" spans="1:16" s="29" customFormat="1" ht="15.75">
      <c r="A39" s="31" t="s">
        <v>164</v>
      </c>
      <c r="B39" s="27">
        <v>0</v>
      </c>
      <c r="C39" s="27">
        <v>0</v>
      </c>
      <c r="D39" s="27">
        <v>0</v>
      </c>
      <c r="E39" s="27">
        <v>0</v>
      </c>
      <c r="F39" s="27"/>
      <c r="G39" s="27"/>
      <c r="H39" s="27"/>
      <c r="I39" s="27">
        <v>0</v>
      </c>
      <c r="J39" s="27">
        <v>0</v>
      </c>
      <c r="K39" s="27">
        <v>0</v>
      </c>
      <c r="L39" s="27">
        <f>'ф.2'!B49</f>
        <v>7951</v>
      </c>
      <c r="M39" s="27">
        <f>SUM(B39:L39)</f>
        <v>7951</v>
      </c>
      <c r="N39" s="27">
        <f>'ф.2'!B52</f>
        <v>0</v>
      </c>
      <c r="O39" s="28">
        <f>M39+N39</f>
        <v>7951</v>
      </c>
      <c r="P39" s="130"/>
    </row>
    <row r="40" spans="1:16" s="29" customFormat="1" ht="15.75">
      <c r="A40" s="41" t="s">
        <v>74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130"/>
    </row>
    <row r="41" spans="1:16" s="29" customFormat="1" ht="31.5">
      <c r="A41" s="32" t="s">
        <v>79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130"/>
    </row>
    <row r="42" spans="1:16" s="29" customFormat="1" ht="31.5">
      <c r="A42" s="31" t="s">
        <v>75</v>
      </c>
      <c r="B42" s="27">
        <v>0</v>
      </c>
      <c r="C42" s="27">
        <v>0</v>
      </c>
      <c r="D42" s="27">
        <v>0</v>
      </c>
      <c r="E42" s="33">
        <f>'ф.2'!B57</f>
        <v>158</v>
      </c>
      <c r="F42" s="33">
        <v>0</v>
      </c>
      <c r="G42" s="33">
        <v>0</v>
      </c>
      <c r="H42" s="33">
        <v>0</v>
      </c>
      <c r="I42" s="33">
        <v>0</v>
      </c>
      <c r="J42" s="27">
        <v>0</v>
      </c>
      <c r="K42" s="27">
        <v>0</v>
      </c>
      <c r="L42" s="27">
        <v>0</v>
      </c>
      <c r="M42" s="27">
        <f aca="true" t="shared" si="6" ref="M42:M47">SUM(B42:L42)</f>
        <v>158</v>
      </c>
      <c r="N42" s="27">
        <v>0</v>
      </c>
      <c r="O42" s="28">
        <f aca="true" t="shared" si="7" ref="O42:O47">M42+N42</f>
        <v>158</v>
      </c>
      <c r="P42" s="130"/>
    </row>
    <row r="43" spans="1:16" s="29" customFormat="1" ht="47.25">
      <c r="A43" s="31" t="s">
        <v>150</v>
      </c>
      <c r="B43" s="27">
        <v>0</v>
      </c>
      <c r="C43" s="27">
        <v>0</v>
      </c>
      <c r="D43" s="27">
        <v>0</v>
      </c>
      <c r="E43" s="33">
        <f>'ф.2'!B58</f>
        <v>21</v>
      </c>
      <c r="F43" s="33"/>
      <c r="G43" s="33"/>
      <c r="H43" s="33"/>
      <c r="I43" s="33">
        <v>0</v>
      </c>
      <c r="J43" s="27">
        <v>0</v>
      </c>
      <c r="K43" s="33">
        <v>0</v>
      </c>
      <c r="L43" s="27">
        <v>0</v>
      </c>
      <c r="M43" s="27">
        <f t="shared" si="6"/>
        <v>21</v>
      </c>
      <c r="N43" s="27">
        <v>0</v>
      </c>
      <c r="O43" s="28">
        <f t="shared" si="7"/>
        <v>21</v>
      </c>
      <c r="P43" s="130"/>
    </row>
    <row r="44" spans="1:16" s="29" customFormat="1" ht="47.25">
      <c r="A44" s="31" t="s">
        <v>179</v>
      </c>
      <c r="B44" s="53">
        <v>0</v>
      </c>
      <c r="C44" s="53">
        <v>0</v>
      </c>
      <c r="D44" s="53">
        <v>0</v>
      </c>
      <c r="E44" s="53">
        <v>0</v>
      </c>
      <c r="F44" s="125">
        <f>'ф.2'!B59</f>
        <v>7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27">
        <f t="shared" si="6"/>
        <v>7</v>
      </c>
      <c r="N44" s="53"/>
      <c r="O44" s="28">
        <f t="shared" si="7"/>
        <v>7</v>
      </c>
      <c r="P44" s="130"/>
    </row>
    <row r="45" spans="1:16" s="29" customFormat="1" ht="63" hidden="1">
      <c r="A45" s="31" t="s">
        <v>180</v>
      </c>
      <c r="B45" s="53">
        <v>0</v>
      </c>
      <c r="C45" s="53">
        <v>0</v>
      </c>
      <c r="D45" s="53">
        <v>0</v>
      </c>
      <c r="E45" s="53">
        <v>0</v>
      </c>
      <c r="F45" s="53">
        <v>0</v>
      </c>
      <c r="G45" s="125">
        <v>0</v>
      </c>
      <c r="H45" s="53">
        <v>0</v>
      </c>
      <c r="I45" s="53">
        <f>71*0</f>
        <v>0</v>
      </c>
      <c r="J45" s="53">
        <v>0</v>
      </c>
      <c r="K45" s="53">
        <v>0</v>
      </c>
      <c r="L45" s="53">
        <v>0</v>
      </c>
      <c r="M45" s="27">
        <f t="shared" si="6"/>
        <v>0</v>
      </c>
      <c r="N45" s="53"/>
      <c r="O45" s="28">
        <f t="shared" si="7"/>
        <v>0</v>
      </c>
      <c r="P45" s="130"/>
    </row>
    <row r="46" spans="1:16" s="29" customFormat="1" ht="31.5" hidden="1">
      <c r="A46" s="31" t="s">
        <v>185</v>
      </c>
      <c r="B46" s="53">
        <v>0</v>
      </c>
      <c r="C46" s="53">
        <v>0</v>
      </c>
      <c r="D46" s="53"/>
      <c r="E46" s="53">
        <f>0-2*0</f>
        <v>0</v>
      </c>
      <c r="F46" s="53">
        <v>0</v>
      </c>
      <c r="G46" s="53">
        <v>0</v>
      </c>
      <c r="H46" s="125">
        <f>-2*0</f>
        <v>0</v>
      </c>
      <c r="I46" s="53">
        <f>49*0</f>
        <v>0</v>
      </c>
      <c r="J46" s="53">
        <v>0</v>
      </c>
      <c r="K46" s="53">
        <v>0</v>
      </c>
      <c r="L46" s="53">
        <v>0</v>
      </c>
      <c r="M46" s="27">
        <f t="shared" si="6"/>
        <v>0</v>
      </c>
      <c r="N46" s="53"/>
      <c r="O46" s="28">
        <f t="shared" si="7"/>
        <v>0</v>
      </c>
      <c r="P46" s="130"/>
    </row>
    <row r="47" spans="1:16" s="29" customFormat="1" ht="31.5">
      <c r="A47" s="31" t="s">
        <v>141</v>
      </c>
      <c r="B47" s="53">
        <v>0</v>
      </c>
      <c r="C47" s="53">
        <v>0</v>
      </c>
      <c r="D47" s="53">
        <v>0</v>
      </c>
      <c r="E47" s="125">
        <v>0</v>
      </c>
      <c r="F47" s="125">
        <v>0</v>
      </c>
      <c r="G47" s="125">
        <f>-71*0</f>
        <v>0</v>
      </c>
      <c r="H47" s="125">
        <f>-48*0</f>
        <v>0</v>
      </c>
      <c r="I47" s="125">
        <f>'ф.2'!B64</f>
        <v>-710</v>
      </c>
      <c r="J47" s="53">
        <v>0</v>
      </c>
      <c r="K47" s="125">
        <v>0</v>
      </c>
      <c r="L47" s="53">
        <v>0</v>
      </c>
      <c r="M47" s="27">
        <f t="shared" si="6"/>
        <v>-710</v>
      </c>
      <c r="N47" s="53">
        <f>'ф.2'!B64-'ф.4'!I47</f>
        <v>0</v>
      </c>
      <c r="O47" s="35">
        <f t="shared" si="7"/>
        <v>-710</v>
      </c>
      <c r="P47" s="130"/>
    </row>
    <row r="48" spans="1:16" s="29" customFormat="1" ht="32.25" thickBot="1">
      <c r="A48" s="34" t="s">
        <v>80</v>
      </c>
      <c r="B48" s="57">
        <f>B42+B43</f>
        <v>0</v>
      </c>
      <c r="C48" s="57">
        <f>C42+C43</f>
        <v>0</v>
      </c>
      <c r="D48" s="57">
        <f>D42+D43</f>
        <v>0</v>
      </c>
      <c r="E48" s="57">
        <f aca="true" t="shared" si="8" ref="E48:M48">SUM(E42:E47)</f>
        <v>179</v>
      </c>
      <c r="F48" s="57">
        <f t="shared" si="8"/>
        <v>7</v>
      </c>
      <c r="G48" s="57">
        <f t="shared" si="8"/>
        <v>0</v>
      </c>
      <c r="H48" s="57">
        <f t="shared" si="8"/>
        <v>0</v>
      </c>
      <c r="I48" s="57">
        <f t="shared" si="8"/>
        <v>-710</v>
      </c>
      <c r="J48" s="57">
        <f t="shared" si="8"/>
        <v>0</v>
      </c>
      <c r="K48" s="57">
        <f t="shared" si="8"/>
        <v>0</v>
      </c>
      <c r="L48" s="57">
        <f t="shared" si="8"/>
        <v>0</v>
      </c>
      <c r="M48" s="57">
        <f t="shared" si="8"/>
        <v>-524</v>
      </c>
      <c r="N48" s="57">
        <f>N42+N47</f>
        <v>0</v>
      </c>
      <c r="O48" s="245">
        <f>SUM(O42:O47)</f>
        <v>-524</v>
      </c>
      <c r="P48" s="130"/>
    </row>
    <row r="49" spans="1:16" s="29" customFormat="1" ht="16.5" thickBot="1">
      <c r="A49" s="36" t="s">
        <v>81</v>
      </c>
      <c r="B49" s="37">
        <v>0</v>
      </c>
      <c r="C49" s="37">
        <v>0</v>
      </c>
      <c r="D49" s="37">
        <f aca="true" t="shared" si="9" ref="D49:O49">D48</f>
        <v>0</v>
      </c>
      <c r="E49" s="37">
        <f t="shared" si="9"/>
        <v>179</v>
      </c>
      <c r="F49" s="37">
        <f t="shared" si="9"/>
        <v>7</v>
      </c>
      <c r="G49" s="37">
        <f t="shared" si="9"/>
        <v>0</v>
      </c>
      <c r="H49" s="37">
        <f t="shared" si="9"/>
        <v>0</v>
      </c>
      <c r="I49" s="37">
        <f>I48</f>
        <v>-710</v>
      </c>
      <c r="J49" s="37">
        <f t="shared" si="9"/>
        <v>0</v>
      </c>
      <c r="K49" s="37">
        <f t="shared" si="9"/>
        <v>0</v>
      </c>
      <c r="L49" s="37">
        <f t="shared" si="9"/>
        <v>0</v>
      </c>
      <c r="M49" s="37">
        <f t="shared" si="9"/>
        <v>-524</v>
      </c>
      <c r="N49" s="37">
        <f t="shared" si="9"/>
        <v>0</v>
      </c>
      <c r="O49" s="246">
        <f t="shared" si="9"/>
        <v>-524</v>
      </c>
      <c r="P49" s="130"/>
    </row>
    <row r="50" spans="1:16" s="42" customFormat="1" ht="16.5" thickBot="1">
      <c r="A50" s="61" t="s">
        <v>192</v>
      </c>
      <c r="B50" s="39">
        <v>0</v>
      </c>
      <c r="C50" s="39">
        <v>0</v>
      </c>
      <c r="D50" s="39">
        <f aca="true" t="shared" si="10" ref="D50:O50">D49+D39</f>
        <v>0</v>
      </c>
      <c r="E50" s="39">
        <f t="shared" si="10"/>
        <v>179</v>
      </c>
      <c r="F50" s="39">
        <f t="shared" si="10"/>
        <v>7</v>
      </c>
      <c r="G50" s="39">
        <f t="shared" si="10"/>
        <v>0</v>
      </c>
      <c r="H50" s="39">
        <f t="shared" si="10"/>
        <v>0</v>
      </c>
      <c r="I50" s="39">
        <f t="shared" si="10"/>
        <v>-710</v>
      </c>
      <c r="J50" s="39">
        <f t="shared" si="10"/>
        <v>0</v>
      </c>
      <c r="K50" s="39">
        <f t="shared" si="10"/>
        <v>0</v>
      </c>
      <c r="L50" s="39">
        <f t="shared" si="10"/>
        <v>7951</v>
      </c>
      <c r="M50" s="39">
        <f t="shared" si="10"/>
        <v>7427</v>
      </c>
      <c r="N50" s="39">
        <f t="shared" si="10"/>
        <v>0</v>
      </c>
      <c r="O50" s="38">
        <f t="shared" si="10"/>
        <v>7427</v>
      </c>
      <c r="P50" s="130"/>
    </row>
    <row r="51" spans="1:16" s="29" customFormat="1" ht="31.5">
      <c r="A51" s="58" t="s">
        <v>76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59"/>
      <c r="P51" s="130"/>
    </row>
    <row r="52" spans="1:16" s="29" customFormat="1" ht="15.75">
      <c r="A52" s="31" t="s">
        <v>63</v>
      </c>
      <c r="B52" s="27">
        <v>35300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7">
        <f>L52+J52+I52+E52+D52+C52+B52</f>
        <v>35300</v>
      </c>
      <c r="N52" s="26">
        <v>0</v>
      </c>
      <c r="O52" s="28">
        <f>M52+N52</f>
        <v>35300</v>
      </c>
      <c r="P52" s="130"/>
    </row>
    <row r="53" spans="1:16" s="29" customFormat="1" ht="15.75">
      <c r="A53" s="31" t="s">
        <v>197</v>
      </c>
      <c r="B53" s="27">
        <v>-51</v>
      </c>
      <c r="C53" s="27">
        <f>ROUND(149/1000,0)</f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7">
        <v>0</v>
      </c>
      <c r="M53" s="27">
        <f>L53+J53+I53+E53+D53+C53+B53</f>
        <v>-51</v>
      </c>
      <c r="N53" s="26">
        <v>0</v>
      </c>
      <c r="O53" s="28">
        <f>M53+N53</f>
        <v>-51</v>
      </c>
      <c r="P53" s="130"/>
    </row>
    <row r="54" spans="1:17" s="29" customFormat="1" ht="15.75">
      <c r="A54" s="31" t="s">
        <v>189</v>
      </c>
      <c r="B54" s="27">
        <v>0</v>
      </c>
      <c r="C54" s="27">
        <v>0</v>
      </c>
      <c r="D54" s="26"/>
      <c r="E54" s="26">
        <v>0</v>
      </c>
      <c r="F54" s="26">
        <v>0</v>
      </c>
      <c r="G54" s="26">
        <v>0</v>
      </c>
      <c r="H54" s="26">
        <v>0</v>
      </c>
      <c r="I54" s="26"/>
      <c r="J54" s="26">
        <v>0</v>
      </c>
      <c r="K54" s="26">
        <v>0</v>
      </c>
      <c r="L54" s="27">
        <v>-174</v>
      </c>
      <c r="M54" s="27">
        <f>L54+J54+I54+E54+D54+C54+B54</f>
        <v>-174</v>
      </c>
      <c r="N54" s="27">
        <v>0</v>
      </c>
      <c r="O54" s="28">
        <f>N54+M54</f>
        <v>-174</v>
      </c>
      <c r="Q54" s="148">
        <f>-2557746+2</f>
        <v>-2557744</v>
      </c>
    </row>
    <row r="55" spans="1:16" s="29" customFormat="1" ht="15.75" customHeight="1">
      <c r="A55" s="55" t="s">
        <v>93</v>
      </c>
      <c r="B55" s="26">
        <f>B52+B53</f>
        <v>35249</v>
      </c>
      <c r="C55" s="26">
        <f>C52+C53+C54</f>
        <v>0</v>
      </c>
      <c r="D55" s="26">
        <f>D52+D53+D54</f>
        <v>0</v>
      </c>
      <c r="E55" s="26">
        <f>E52+E53</f>
        <v>0</v>
      </c>
      <c r="F55" s="26">
        <v>0</v>
      </c>
      <c r="G55" s="26">
        <v>0</v>
      </c>
      <c r="H55" s="26">
        <v>0</v>
      </c>
      <c r="I55" s="26">
        <f>I52+I53</f>
        <v>0</v>
      </c>
      <c r="J55" s="26">
        <f>J52+J53</f>
        <v>0</v>
      </c>
      <c r="K55" s="26">
        <f>K52+K53</f>
        <v>0</v>
      </c>
      <c r="L55" s="26">
        <f>L52+L53+L54</f>
        <v>-174</v>
      </c>
      <c r="M55" s="26">
        <f>M52+M53+M54</f>
        <v>35075</v>
      </c>
      <c r="N55" s="26">
        <f>N52+N53+N54</f>
        <v>0</v>
      </c>
      <c r="O55" s="28">
        <f>O52+O53+O54</f>
        <v>35075</v>
      </c>
      <c r="P55" s="130"/>
    </row>
    <row r="56" spans="1:16" s="29" customFormat="1" ht="15.75" customHeight="1">
      <c r="A56" s="31" t="s">
        <v>183</v>
      </c>
      <c r="B56" s="40">
        <v>0</v>
      </c>
      <c r="C56" s="40">
        <v>0</v>
      </c>
      <c r="D56" s="53">
        <f>-298*0</f>
        <v>0</v>
      </c>
      <c r="E56" s="40">
        <v>0</v>
      </c>
      <c r="F56" s="26">
        <v>0</v>
      </c>
      <c r="G56" s="26">
        <v>0</v>
      </c>
      <c r="H56" s="26">
        <v>0</v>
      </c>
      <c r="I56" s="40">
        <v>0</v>
      </c>
      <c r="J56" s="27"/>
      <c r="K56" s="27">
        <v>-16631</v>
      </c>
      <c r="L56" s="27">
        <f>-K56</f>
        <v>16631</v>
      </c>
      <c r="M56" s="27">
        <f>SUM(B56:L56)</f>
        <v>0</v>
      </c>
      <c r="N56" s="40">
        <v>0</v>
      </c>
      <c r="O56" s="28">
        <f>N56+M56</f>
        <v>0</v>
      </c>
      <c r="P56" s="130"/>
    </row>
    <row r="57" spans="1:16" s="29" customFormat="1" ht="15.75">
      <c r="A57" s="52" t="s">
        <v>182</v>
      </c>
      <c r="B57" s="40">
        <v>0</v>
      </c>
      <c r="C57" s="40">
        <v>0</v>
      </c>
      <c r="D57" s="53">
        <v>0</v>
      </c>
      <c r="E57" s="40">
        <v>0</v>
      </c>
      <c r="F57" s="26">
        <v>0</v>
      </c>
      <c r="G57" s="26">
        <v>0</v>
      </c>
      <c r="H57" s="26">
        <v>0</v>
      </c>
      <c r="I57" s="40">
        <v>0</v>
      </c>
      <c r="J57" s="27">
        <f>(-17+1*0)</f>
        <v>-17</v>
      </c>
      <c r="K57" s="27">
        <v>0</v>
      </c>
      <c r="L57" s="27">
        <f>-J57</f>
        <v>17</v>
      </c>
      <c r="M57" s="27">
        <f>SUM(B57:L57)</f>
        <v>0</v>
      </c>
      <c r="N57" s="40">
        <v>0</v>
      </c>
      <c r="O57" s="35">
        <f>N57+M57</f>
        <v>0</v>
      </c>
      <c r="P57" s="130"/>
    </row>
    <row r="58" spans="1:16" s="29" customFormat="1" ht="18.75" customHeight="1" thickBot="1">
      <c r="A58" s="43" t="s">
        <v>204</v>
      </c>
      <c r="B58" s="44">
        <f>B37+B50+B55</f>
        <v>128266</v>
      </c>
      <c r="C58" s="44">
        <f>C37+C50+C55</f>
        <v>234</v>
      </c>
      <c r="D58" s="44">
        <f>D35+D50+D55+D56</f>
        <v>0</v>
      </c>
      <c r="E58" s="44">
        <f>E37+E50+E55</f>
        <v>-197</v>
      </c>
      <c r="F58" s="44">
        <f>F37+F50+F55</f>
        <v>94</v>
      </c>
      <c r="G58" s="44">
        <f>G37+G50+G55</f>
        <v>0</v>
      </c>
      <c r="H58" s="44">
        <f>H37+H50+H55</f>
        <v>0</v>
      </c>
      <c r="I58" s="44">
        <f>I37+I50+I55</f>
        <v>1532</v>
      </c>
      <c r="J58" s="44">
        <f>J37+J50+J55+J57</f>
        <v>142</v>
      </c>
      <c r="K58" s="44">
        <f>K37+K50+K55+K56</f>
        <v>0</v>
      </c>
      <c r="L58" s="44">
        <f>L37+L50+L55+L56+L57</f>
        <v>94590</v>
      </c>
      <c r="M58" s="44">
        <f>M37+M50+M55</f>
        <v>224661</v>
      </c>
      <c r="N58" s="44">
        <f>N35+N50+N55</f>
        <v>0</v>
      </c>
      <c r="O58" s="45">
        <f>O37+O50+O55</f>
        <v>224661</v>
      </c>
      <c r="P58" s="130">
        <f>P54+N54</f>
        <v>0</v>
      </c>
    </row>
    <row r="59" spans="1:15" s="171" customFormat="1" ht="9" customHeight="1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1:15" s="171" customFormat="1" ht="15" customHeight="1">
      <c r="A60" s="226" t="s">
        <v>43</v>
      </c>
      <c r="B60" s="282">
        <f>B58-'ф.1'!B51</f>
        <v>0</v>
      </c>
      <c r="C60" s="282">
        <f>C58-'ф.1'!B52</f>
        <v>0</v>
      </c>
      <c r="D60" s="282"/>
      <c r="E60" s="282">
        <f>E58-'ф.1'!B53</f>
        <v>0</v>
      </c>
      <c r="F60" s="282">
        <f>F58-'ф.1'!B54</f>
        <v>0</v>
      </c>
      <c r="G60" s="282">
        <f>G58-'ф.1'!B55</f>
        <v>0</v>
      </c>
      <c r="H60" s="282">
        <f>H58-'ф.1'!B56</f>
        <v>0</v>
      </c>
      <c r="I60" s="282">
        <f>I58-'ф.1'!B57</f>
        <v>0</v>
      </c>
      <c r="J60" s="282">
        <f>J58-'ф.1'!B58</f>
        <v>0</v>
      </c>
      <c r="K60" s="282">
        <f>K58-'ф.1'!B59</f>
        <v>0</v>
      </c>
      <c r="L60" s="282">
        <f>L58-'ф.1'!B60</f>
        <v>0</v>
      </c>
      <c r="M60" s="282">
        <f>M58-'ф.1'!B61</f>
        <v>0</v>
      </c>
      <c r="N60" s="282">
        <f>N58-'ф.1'!B62</f>
        <v>0</v>
      </c>
      <c r="O60" s="282">
        <f>'ф.1'!B63-'ф.4'!O58</f>
        <v>0</v>
      </c>
    </row>
    <row r="61" spans="1:16" s="29" customFormat="1" ht="11.25" customHeight="1">
      <c r="A61" s="146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30"/>
    </row>
    <row r="62" spans="1:16" s="29" customFormat="1" ht="16.5" customHeight="1">
      <c r="A62" s="244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30"/>
    </row>
    <row r="63" spans="1:16" s="29" customFormat="1" ht="11.25" customHeight="1">
      <c r="A63" s="1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30"/>
    </row>
    <row r="64" spans="1:16" s="29" customFormat="1" ht="11.25" customHeight="1">
      <c r="A64" s="1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130"/>
    </row>
    <row r="65" spans="1:16" s="29" customFormat="1" ht="19.5" customHeight="1">
      <c r="A65" s="147" t="str">
        <f>'ф.1'!A70</f>
        <v>Председатель Правления                                              </v>
      </c>
      <c r="B65" s="134"/>
      <c r="C65" s="114" t="str">
        <f>'ф.1'!B70</f>
        <v>Вокурка У.</v>
      </c>
      <c r="D65" s="95"/>
      <c r="E65" s="95"/>
      <c r="F65" s="95"/>
      <c r="G65" s="95"/>
      <c r="H65" s="95"/>
      <c r="I65" s="95"/>
      <c r="J65" s="95"/>
      <c r="K65" s="95"/>
      <c r="L65" s="46"/>
      <c r="M65" s="95"/>
      <c r="N65" s="95"/>
      <c r="P65" s="130"/>
    </row>
    <row r="66" spans="1:16" s="29" customFormat="1" ht="10.5" customHeight="1">
      <c r="A66" s="135"/>
      <c r="B66" s="135"/>
      <c r="C66" s="13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P66" s="130"/>
    </row>
    <row r="67" spans="1:16" s="29" customFormat="1" ht="12" customHeight="1">
      <c r="A67" s="136"/>
      <c r="B67" s="136"/>
      <c r="C67" s="136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P67" s="130"/>
    </row>
    <row r="68" spans="1:4" ht="20.25" customHeight="1">
      <c r="A68" s="49" t="str">
        <f>'ф.1'!A73</f>
        <v>Главный бухгалтер                                                        </v>
      </c>
      <c r="B68" s="114"/>
      <c r="C68" s="114" t="str">
        <f>'ф.1'!B73</f>
        <v>Багаутдинова Н.М.</v>
      </c>
      <c r="D68" s="96"/>
    </row>
    <row r="69" spans="1:14" ht="21" customHeight="1">
      <c r="A69" s="74" t="s">
        <v>106</v>
      </c>
      <c r="B69" s="137"/>
      <c r="C69" s="137"/>
      <c r="K69" s="138"/>
      <c r="L69" s="29"/>
      <c r="M69" s="29"/>
      <c r="N69" s="29"/>
    </row>
    <row r="70" spans="1:14" ht="15.75" customHeight="1">
      <c r="A70" s="75" t="s">
        <v>107</v>
      </c>
      <c r="B70" s="137"/>
      <c r="C70" s="137"/>
      <c r="L70" s="29"/>
      <c r="M70" s="29"/>
      <c r="N70" s="29"/>
    </row>
    <row r="71" spans="1:14" ht="13.5" customHeight="1">
      <c r="A71" s="76" t="s">
        <v>108</v>
      </c>
      <c r="B71" s="137"/>
      <c r="C71" s="137"/>
      <c r="L71" s="29"/>
      <c r="M71" s="29"/>
      <c r="N71" s="29"/>
    </row>
    <row r="72" spans="1:14" ht="15">
      <c r="A72" s="13"/>
      <c r="L72" s="29"/>
      <c r="M72" s="29"/>
      <c r="N72" s="29"/>
    </row>
  </sheetData>
  <sheetProtection/>
  <mergeCells count="7">
    <mergeCell ref="A11:O11"/>
    <mergeCell ref="A10:O10"/>
    <mergeCell ref="A4:B4"/>
    <mergeCell ref="A5:B5"/>
    <mergeCell ref="A7:O7"/>
    <mergeCell ref="A8:O8"/>
    <mergeCell ref="A9:O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Молдабекова Асель Адилбековна</cp:lastModifiedBy>
  <cp:lastPrinted>2018-10-30T09:50:27Z</cp:lastPrinted>
  <dcterms:created xsi:type="dcterms:W3CDTF">2014-03-12T12:50:09Z</dcterms:created>
  <dcterms:modified xsi:type="dcterms:W3CDTF">2018-10-30T15:22:56Z</dcterms:modified>
  <cp:category/>
  <cp:version/>
  <cp:contentType/>
  <cp:contentStatus/>
</cp:coreProperties>
</file>