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ombekbayeva\AppData\Local\Microsoft\Windows\INetCache\Content.Outlook\8UAU3JVY\"/>
    </mc:Choice>
  </mc:AlternateContent>
  <bookViews>
    <workbookView xWindow="0" yWindow="0" windowWidth="28800" windowHeight="11775"/>
  </bookViews>
  <sheets>
    <sheet name="VREP_700_ND_RESPONDENTundefined" sheetId="1" r:id="rId1"/>
  </sheets>
  <definedNames>
    <definedName name="_xlnm._FilterDatabase" localSheetId="0" hidden="1">VREP_700_ND_RESPONDENTundefined!$A$2:$G$846</definedName>
  </definedNames>
  <calcPr calcId="162913"/>
</workbook>
</file>

<file path=xl/calcChain.xml><?xml version="1.0" encoding="utf-8"?>
<calcChain xmlns="http://schemas.openxmlformats.org/spreadsheetml/2006/main">
  <c r="F862" i="1" l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F4" i="1"/>
  <c r="E4" i="1"/>
  <c r="D4" i="1"/>
  <c r="C4" i="1"/>
  <c r="B4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<sst xmlns="http://schemas.openxmlformats.org/spreadsheetml/2006/main" count="9" uniqueCount="9">
  <si>
    <t>REPORT_DATE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</si>
  <si>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</si>
  <si>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</si>
  <si>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</si>
  <si>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</si>
  <si>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</si>
  <si>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</si>
  <si>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АО "ForteBank"</t>
  </si>
  <si>
    <t>Отчет об остатках на балансовых  и внебалансовых счетах банков второго уровня  за 31.03.2022г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</si>
</sst>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</cellXfs>
  <cellStyles count="45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Финансовый 2" xfId="44"/>
    <cellStyle name="Финансовый 2 2 4" xfId="4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2"/>
  <sheetViews>
    <sheetView tabSelected="1" workbookViewId="0"/>
  </sheetViews>
  <sheetFormatPr defaultRowHeight="15" x14ac:dyDescent="0.25"/>
  <cols>
    <col min="1" max="1" width="16" customWidth="1"/>
    <col min="3" max="3" width="154.140625" bestFit="1" customWidth="1"/>
    <col min="5" max="5" width="11.42578125" customWidth="1"/>
    <col min="7" max="7" width="20" style="2" bestFit="1" customWidth="1"/>
  </cols>
  <sheetData>
    <row r="1" spans="1:7" x14ac:dyDescent="0.25">
      <c r="A1" s="4" t="s">
        <v>7</v>
      </c>
      <c r="C1" s="5" t="s">
        <v>8</v>
      </c>
    </row>
    <row r="2" spans="1:7" ht="4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25">
      <c r="A3" s="1">
        <v>44651</v>
      </c>
      <c r="B3" t="str">
        <f>"1001"</f>
        <v>1001</v>
      </c>
      <c r="C3" t="str">
        <f>"Наличность в кассе"</f>
        <v>Наличность в кассе</v>
      </c>
      <c r="D3" t="str">
        <f>"1"</f>
        <v>1</v>
      </c>
      <c r="E3" t="str">
        <f t="shared" ref="E3:E12" si="0">"3"</f>
        <v>3</v>
      </c>
      <c r="F3" t="str">
        <f>"1"</f>
        <v>1</v>
      </c>
      <c r="G3" s="2">
        <v>8692973874</v>
      </c>
    </row>
    <row r="4" spans="1:7" x14ac:dyDescent="0.25">
      <c r="A4" s="1">
        <v>44651</v>
      </c>
      <c r="B4" t="str">
        <f>"1001"</f>
        <v>1001</v>
      </c>
      <c r="C4" t="str">
        <f>"Наличность в кассе"</f>
        <v>Наличность в кассе</v>
      </c>
      <c r="D4" t="str">
        <f>"2"</f>
        <v>2</v>
      </c>
      <c r="E4" t="str">
        <f t="shared" si="0"/>
        <v>3</v>
      </c>
      <c r="F4" t="str">
        <f>"2"</f>
        <v>2</v>
      </c>
      <c r="G4" s="2">
        <v>22884622555.950001</v>
      </c>
    </row>
    <row r="5" spans="1:7" x14ac:dyDescent="0.25">
      <c r="A5" s="1">
        <v>44651</v>
      </c>
      <c r="B5" t="str">
        <f>"1001"</f>
        <v>1001</v>
      </c>
      <c r="C5" t="str">
        <f>"Наличность в кассе"</f>
        <v>Наличность в кассе</v>
      </c>
      <c r="D5" t="str">
        <f>"2"</f>
        <v>2</v>
      </c>
      <c r="E5" t="str">
        <f t="shared" si="0"/>
        <v>3</v>
      </c>
      <c r="F5" t="str">
        <f>"3"</f>
        <v>3</v>
      </c>
      <c r="G5" s="2">
        <v>469853804.39999998</v>
      </c>
    </row>
    <row r="6" spans="1:7" x14ac:dyDescent="0.25">
      <c r="A6" s="1">
        <v>44651</v>
      </c>
      <c r="B6" t="str">
        <f>"1002"</f>
        <v>1002</v>
      </c>
      <c r="C6" t="str">
        <f>"Банкноты и монеты в пути"</f>
        <v>Банкноты и монеты в пути</v>
      </c>
      <c r="D6" t="str">
        <f>"1"</f>
        <v>1</v>
      </c>
      <c r="E6" t="str">
        <f t="shared" si="0"/>
        <v>3</v>
      </c>
      <c r="F6" t="str">
        <f>"1"</f>
        <v>1</v>
      </c>
      <c r="G6" s="2">
        <v>6800410077</v>
      </c>
    </row>
    <row r="7" spans="1:7" x14ac:dyDescent="0.25">
      <c r="A7" s="1">
        <v>44651</v>
      </c>
      <c r="B7" t="str">
        <f>"1002"</f>
        <v>1002</v>
      </c>
      <c r="C7" t="str">
        <f>"Банкноты и монеты в пути"</f>
        <v>Банкноты и монеты в пути</v>
      </c>
      <c r="D7" t="str">
        <f>"2"</f>
        <v>2</v>
      </c>
      <c r="E7" t="str">
        <f t="shared" si="0"/>
        <v>3</v>
      </c>
      <c r="F7" t="str">
        <f>"2"</f>
        <v>2</v>
      </c>
      <c r="G7" s="2">
        <v>4596955785.6099997</v>
      </c>
    </row>
    <row r="8" spans="1:7" x14ac:dyDescent="0.25">
      <c r="A8" s="1">
        <v>44651</v>
      </c>
      <c r="B8" t="str">
        <f>"1002"</f>
        <v>1002</v>
      </c>
      <c r="C8" t="str">
        <f>"Банкноты и монеты в пути"</f>
        <v>Банкноты и монеты в пути</v>
      </c>
      <c r="D8" t="str">
        <f>"2"</f>
        <v>2</v>
      </c>
      <c r="E8" t="str">
        <f t="shared" si="0"/>
        <v>3</v>
      </c>
      <c r="F8" t="str">
        <f>"3"</f>
        <v>3</v>
      </c>
      <c r="G8" s="2">
        <v>112049289</v>
      </c>
    </row>
    <row r="9" spans="1:7" x14ac:dyDescent="0.25">
      <c r="A9" s="1">
        <v>44651</v>
      </c>
      <c r="B9" t="str">
        <f>"1005"</f>
        <v>1005</v>
      </c>
      <c r="C9" t="str">
        <f>"Наличность в банкоматах и электронных терминалах"</f>
        <v>Наличность в банкоматах и электронных терминалах</v>
      </c>
      <c r="D9" t="str">
        <f>"1"</f>
        <v>1</v>
      </c>
      <c r="E9" t="str">
        <f t="shared" si="0"/>
        <v>3</v>
      </c>
      <c r="F9" t="str">
        <f>"1"</f>
        <v>1</v>
      </c>
      <c r="G9" s="2">
        <v>10696606248</v>
      </c>
    </row>
    <row r="10" spans="1:7" x14ac:dyDescent="0.25">
      <c r="A10" s="1">
        <v>44651</v>
      </c>
      <c r="B10" t="str">
        <f>"1005"</f>
        <v>1005</v>
      </c>
      <c r="C10" t="str">
        <f>"Наличность в банкоматах и электронных терминалах"</f>
        <v>Наличность в банкоматах и электронных терминалах</v>
      </c>
      <c r="D10" t="str">
        <f>"2"</f>
        <v>2</v>
      </c>
      <c r="E10" t="str">
        <f t="shared" si="0"/>
        <v>3</v>
      </c>
      <c r="F10" t="str">
        <f>"2"</f>
        <v>2</v>
      </c>
      <c r="G10" s="2">
        <v>222303942</v>
      </c>
    </row>
    <row r="11" spans="1:7" x14ac:dyDescent="0.25">
      <c r="A11" s="1">
        <v>44651</v>
      </c>
      <c r="B11" t="str">
        <f>"1051"</f>
        <v>1051</v>
      </c>
      <c r="C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D11" t="str">
        <f>"1"</f>
        <v>1</v>
      </c>
      <c r="E11" t="str">
        <f t="shared" si="0"/>
        <v>3</v>
      </c>
      <c r="F11" t="str">
        <f>"1"</f>
        <v>1</v>
      </c>
      <c r="G11" s="2">
        <v>36998087770.629997</v>
      </c>
    </row>
    <row r="12" spans="1:7" x14ac:dyDescent="0.25">
      <c r="A12" s="1">
        <v>44651</v>
      </c>
      <c r="B12" t="str">
        <f>"1051"</f>
        <v>1051</v>
      </c>
      <c r="C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D12" t="str">
        <f>"1"</f>
        <v>1</v>
      </c>
      <c r="E12" t="str">
        <f t="shared" si="0"/>
        <v>3</v>
      </c>
      <c r="F12" t="str">
        <f>"2"</f>
        <v>2</v>
      </c>
      <c r="G12" s="2">
        <v>94894603692.470001</v>
      </c>
    </row>
    <row r="13" spans="1:7" x14ac:dyDescent="0.25">
      <c r="A13" s="1">
        <v>44651</v>
      </c>
      <c r="B13" t="str">
        <f t="shared" ref="B13:B20" si="1">"1052"</f>
        <v>1052</v>
      </c>
      <c r="C13" t="str">
        <f t="shared" ref="C13:C20" si="2">"Корреспондентские счета в других банках"</f>
        <v>Корреспондентские счета в других банках</v>
      </c>
      <c r="D13" t="str">
        <f>"1"</f>
        <v>1</v>
      </c>
      <c r="E13" t="str">
        <f>"4"</f>
        <v>4</v>
      </c>
      <c r="F13" t="str">
        <f>"1"</f>
        <v>1</v>
      </c>
      <c r="G13" s="2">
        <v>9289925.5600000005</v>
      </c>
    </row>
    <row r="14" spans="1:7" x14ac:dyDescent="0.25">
      <c r="A14" s="1">
        <v>44651</v>
      </c>
      <c r="B14" t="str">
        <f t="shared" si="1"/>
        <v>1052</v>
      </c>
      <c r="C14" t="str">
        <f t="shared" si="2"/>
        <v>Корреспондентские счета в других банках</v>
      </c>
      <c r="D14" t="str">
        <f>"1"</f>
        <v>1</v>
      </c>
      <c r="E14" t="str">
        <f>"4"</f>
        <v>4</v>
      </c>
      <c r="F14" t="str">
        <f>"2"</f>
        <v>2</v>
      </c>
      <c r="G14" s="2">
        <v>2090056886.4000001</v>
      </c>
    </row>
    <row r="15" spans="1:7" x14ac:dyDescent="0.25">
      <c r="A15" s="1">
        <v>44651</v>
      </c>
      <c r="B15" t="str">
        <f t="shared" si="1"/>
        <v>1052</v>
      </c>
      <c r="C15" t="str">
        <f t="shared" si="2"/>
        <v>Корреспондентские счета в других банках</v>
      </c>
      <c r="D15" t="str">
        <f>"1"</f>
        <v>1</v>
      </c>
      <c r="E15" t="str">
        <f>"5"</f>
        <v>5</v>
      </c>
      <c r="F15" t="str">
        <f>"2"</f>
        <v>2</v>
      </c>
      <c r="G15" s="2">
        <v>4373.99</v>
      </c>
    </row>
    <row r="16" spans="1:7" x14ac:dyDescent="0.25">
      <c r="A16" s="1">
        <v>44651</v>
      </c>
      <c r="B16" t="str">
        <f t="shared" si="1"/>
        <v>1052</v>
      </c>
      <c r="C16" t="str">
        <f t="shared" si="2"/>
        <v>Корреспондентские счета в других банках</v>
      </c>
      <c r="D16" t="str">
        <f>"2"</f>
        <v>2</v>
      </c>
      <c r="E16" t="str">
        <f>"4"</f>
        <v>4</v>
      </c>
      <c r="F16" t="str">
        <f>"2"</f>
        <v>2</v>
      </c>
      <c r="G16" s="2">
        <v>56521227810.059998</v>
      </c>
    </row>
    <row r="17" spans="1:7" x14ac:dyDescent="0.25">
      <c r="A17" s="1">
        <v>44651</v>
      </c>
      <c r="B17" t="str">
        <f t="shared" si="1"/>
        <v>1052</v>
      </c>
      <c r="C17" t="str">
        <f t="shared" si="2"/>
        <v>Корреспондентские счета в других банках</v>
      </c>
      <c r="D17" t="str">
        <f>"2"</f>
        <v>2</v>
      </c>
      <c r="E17" t="str">
        <f>"4"</f>
        <v>4</v>
      </c>
      <c r="F17" t="str">
        <f>"3"</f>
        <v>3</v>
      </c>
      <c r="G17" s="2">
        <v>1339922070.04</v>
      </c>
    </row>
    <row r="18" spans="1:7" x14ac:dyDescent="0.25">
      <c r="A18" s="1">
        <v>44651</v>
      </c>
      <c r="B18" t="str">
        <f t="shared" si="1"/>
        <v>1052</v>
      </c>
      <c r="C18" t="str">
        <f t="shared" si="2"/>
        <v>Корреспондентские счета в других банках</v>
      </c>
      <c r="D18" t="str">
        <f>"2"</f>
        <v>2</v>
      </c>
      <c r="E18" t="str">
        <f>"5"</f>
        <v>5</v>
      </c>
      <c r="F18" t="str">
        <f>"1"</f>
        <v>1</v>
      </c>
      <c r="G18" s="2">
        <v>246765462.05000001</v>
      </c>
    </row>
    <row r="19" spans="1:7" x14ac:dyDescent="0.25">
      <c r="A19" s="1">
        <v>44651</v>
      </c>
      <c r="B19" t="str">
        <f t="shared" si="1"/>
        <v>1052</v>
      </c>
      <c r="C19" t="str">
        <f t="shared" si="2"/>
        <v>Корреспондентские счета в других банках</v>
      </c>
      <c r="D19" t="str">
        <f>"2"</f>
        <v>2</v>
      </c>
      <c r="E19" t="str">
        <f>"5"</f>
        <v>5</v>
      </c>
      <c r="F19" t="str">
        <f>"2"</f>
        <v>2</v>
      </c>
      <c r="G19" s="2">
        <v>1226522251.3800001</v>
      </c>
    </row>
    <row r="20" spans="1:7" x14ac:dyDescent="0.25">
      <c r="A20" s="1">
        <v>44651</v>
      </c>
      <c r="B20" t="str">
        <f t="shared" si="1"/>
        <v>1052</v>
      </c>
      <c r="C20" t="str">
        <f t="shared" si="2"/>
        <v>Корреспондентские счета в других банках</v>
      </c>
      <c r="D20" t="str">
        <f>"2"</f>
        <v>2</v>
      </c>
      <c r="E20" t="str">
        <f>"5"</f>
        <v>5</v>
      </c>
      <c r="F20" t="str">
        <f>"3"</f>
        <v>3</v>
      </c>
      <c r="G20" s="2">
        <v>141094925.43000001</v>
      </c>
    </row>
    <row r="21" spans="1:7" x14ac:dyDescent="0.25">
      <c r="A21" s="1">
        <v>44651</v>
      </c>
      <c r="B21" t="str">
        <f t="shared" ref="B21:B27" si="3">"1054"</f>
        <v>1054</v>
      </c>
      <c r="C21" t="str">
        <f t="shared" ref="C21:C27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D21" t="str">
        <f>"1"</f>
        <v>1</v>
      </c>
      <c r="E21" t="str">
        <f>"4"</f>
        <v>4</v>
      </c>
      <c r="F21" t="str">
        <f>"1"</f>
        <v>1</v>
      </c>
      <c r="G21" s="2">
        <v>-114.07</v>
      </c>
    </row>
    <row r="22" spans="1:7" x14ac:dyDescent="0.25">
      <c r="A22" s="1">
        <v>44651</v>
      </c>
      <c r="B22" t="str">
        <f t="shared" si="3"/>
        <v>1054</v>
      </c>
      <c r="C22" t="str">
        <f t="shared" si="4"/>
        <v>Резервы (провизии) по корреспондентским счетам в других банках и текущим счетам ипотечных организаций</v>
      </c>
      <c r="D22" t="str">
        <f>"1"</f>
        <v>1</v>
      </c>
      <c r="E22" t="str">
        <f>"4"</f>
        <v>4</v>
      </c>
      <c r="F22" t="str">
        <f>"2"</f>
        <v>2</v>
      </c>
      <c r="G22" s="2">
        <v>-72520.87</v>
      </c>
    </row>
    <row r="23" spans="1:7" x14ac:dyDescent="0.25">
      <c r="A23" s="1">
        <v>44651</v>
      </c>
      <c r="B23" t="str">
        <f t="shared" si="3"/>
        <v>1054</v>
      </c>
      <c r="C23" t="str">
        <f t="shared" si="4"/>
        <v>Резервы (провизии) по корреспондентским счетам в других банках и текущим счетам ипотечных организаций</v>
      </c>
      <c r="D23" t="str">
        <f>"2"</f>
        <v>2</v>
      </c>
      <c r="E23" t="str">
        <f>"4"</f>
        <v>4</v>
      </c>
      <c r="F23" t="str">
        <f>"2"</f>
        <v>2</v>
      </c>
      <c r="G23" s="2">
        <v>-415456617.24000001</v>
      </c>
    </row>
    <row r="24" spans="1:7" x14ac:dyDescent="0.25">
      <c r="A24" s="1">
        <v>44651</v>
      </c>
      <c r="B24" t="str">
        <f t="shared" si="3"/>
        <v>1054</v>
      </c>
      <c r="C24" t="str">
        <f t="shared" si="4"/>
        <v>Резервы (провизии) по корреспондентским счетам в других банках и текущим счетам ипотечных организаций</v>
      </c>
      <c r="D24" t="str">
        <f>"2"</f>
        <v>2</v>
      </c>
      <c r="E24" t="str">
        <f>"4"</f>
        <v>4</v>
      </c>
      <c r="F24" t="str">
        <f>"3"</f>
        <v>3</v>
      </c>
      <c r="G24" s="2">
        <v>-18161290.260000002</v>
      </c>
    </row>
    <row r="25" spans="1:7" x14ac:dyDescent="0.25">
      <c r="A25" s="1">
        <v>44651</v>
      </c>
      <c r="B25" t="str">
        <f t="shared" si="3"/>
        <v>1054</v>
      </c>
      <c r="C25" t="str">
        <f t="shared" si="4"/>
        <v>Резервы (провизии) по корреспондентским счетам в других банках и текущим счетам ипотечных организаций</v>
      </c>
      <c r="D25" t="str">
        <f>"2"</f>
        <v>2</v>
      </c>
      <c r="E25" t="str">
        <f>"5"</f>
        <v>5</v>
      </c>
      <c r="F25" t="str">
        <f>"1"</f>
        <v>1</v>
      </c>
      <c r="G25" s="2">
        <v>-149662.16</v>
      </c>
    </row>
    <row r="26" spans="1:7" x14ac:dyDescent="0.25">
      <c r="A26" s="1">
        <v>44651</v>
      </c>
      <c r="B26" t="str">
        <f t="shared" si="3"/>
        <v>1054</v>
      </c>
      <c r="C26" t="str">
        <f t="shared" si="4"/>
        <v>Резервы (провизии) по корреспондентским счетам в других банках и текущим счетам ипотечных организаций</v>
      </c>
      <c r="D26" t="str">
        <f>"2"</f>
        <v>2</v>
      </c>
      <c r="E26" t="str">
        <f>"5"</f>
        <v>5</v>
      </c>
      <c r="F26" t="str">
        <f>"2"</f>
        <v>2</v>
      </c>
      <c r="G26" s="2">
        <v>-773389.96</v>
      </c>
    </row>
    <row r="27" spans="1:7" x14ac:dyDescent="0.25">
      <c r="A27" s="1">
        <v>44651</v>
      </c>
      <c r="B27" t="str">
        <f t="shared" si="3"/>
        <v>1054</v>
      </c>
      <c r="C27" t="str">
        <f t="shared" si="4"/>
        <v>Резервы (провизии) по корреспондентским счетам в других банках и текущим счетам ипотечных организаций</v>
      </c>
      <c r="D27" t="str">
        <f>"2"</f>
        <v>2</v>
      </c>
      <c r="E27" t="str">
        <f>"5"</f>
        <v>5</v>
      </c>
      <c r="F27" t="str">
        <f>"3"</f>
        <v>3</v>
      </c>
      <c r="G27" s="2">
        <v>-132222.44</v>
      </c>
    </row>
    <row r="28" spans="1:7" x14ac:dyDescent="0.25">
      <c r="A28" s="1">
        <v>44651</v>
      </c>
      <c r="B28" t="str">
        <f>"1055"</f>
        <v>1055</v>
      </c>
      <c r="C28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D28" t="str">
        <f t="shared" ref="D28:D35" si="5">"1"</f>
        <v>1</v>
      </c>
      <c r="E28" t="str">
        <f>"3"</f>
        <v>3</v>
      </c>
      <c r="F28" t="str">
        <f>"1"</f>
        <v>1</v>
      </c>
      <c r="G28" s="2">
        <v>3437477928.9099998</v>
      </c>
    </row>
    <row r="29" spans="1:7" x14ac:dyDescent="0.25">
      <c r="A29" s="1">
        <v>44651</v>
      </c>
      <c r="B29" t="str">
        <f>"1101"</f>
        <v>1101</v>
      </c>
      <c r="C29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D29" t="str">
        <f t="shared" si="5"/>
        <v>1</v>
      </c>
      <c r="E29" t="str">
        <f>"3"</f>
        <v>3</v>
      </c>
      <c r="F29" t="str">
        <f>"1"</f>
        <v>1</v>
      </c>
      <c r="G29" s="2">
        <v>19000000000</v>
      </c>
    </row>
    <row r="30" spans="1:7" x14ac:dyDescent="0.25">
      <c r="A30" s="1">
        <v>44651</v>
      </c>
      <c r="B30" t="str">
        <f>"1103"</f>
        <v>1103</v>
      </c>
      <c r="C30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D30" t="str">
        <f t="shared" si="5"/>
        <v>1</v>
      </c>
      <c r="E30" t="str">
        <f>"3"</f>
        <v>3</v>
      </c>
      <c r="F30" t="str">
        <f>"2"</f>
        <v>2</v>
      </c>
      <c r="G30" s="2">
        <v>186524000000</v>
      </c>
    </row>
    <row r="31" spans="1:7" x14ac:dyDescent="0.25">
      <c r="A31" s="1">
        <v>44651</v>
      </c>
      <c r="B31" t="str">
        <f>"1201"</f>
        <v>1201</v>
      </c>
      <c r="C31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D31" t="str">
        <f t="shared" si="5"/>
        <v>1</v>
      </c>
      <c r="E31" t="str">
        <f>"4"</f>
        <v>4</v>
      </c>
      <c r="F31" t="str">
        <f>"1"</f>
        <v>1</v>
      </c>
      <c r="G31" s="2">
        <v>66290250.299999997</v>
      </c>
    </row>
    <row r="32" spans="1:7" x14ac:dyDescent="0.25">
      <c r="A32" s="1">
        <v>44651</v>
      </c>
      <c r="B32" t="str">
        <f>"1201"</f>
        <v>1201</v>
      </c>
      <c r="C32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D32" t="str">
        <f t="shared" si="5"/>
        <v>1</v>
      </c>
      <c r="E32" t="str">
        <f>"6"</f>
        <v>6</v>
      </c>
      <c r="F32" t="str">
        <f>"1"</f>
        <v>1</v>
      </c>
      <c r="G32" s="2">
        <v>61740000</v>
      </c>
    </row>
    <row r="33" spans="1:7" x14ac:dyDescent="0.25">
      <c r="A33" s="1">
        <v>44651</v>
      </c>
      <c r="B33" t="str">
        <f>"1208"</f>
        <v>1208</v>
      </c>
      <c r="C33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D33" t="str">
        <f t="shared" si="5"/>
        <v>1</v>
      </c>
      <c r="E33" t="str">
        <f>"6"</f>
        <v>6</v>
      </c>
      <c r="F33" t="str">
        <f>"1"</f>
        <v>1</v>
      </c>
      <c r="G33" s="2">
        <v>0</v>
      </c>
    </row>
    <row r="34" spans="1:7" x14ac:dyDescent="0.25">
      <c r="A34" s="1">
        <v>44651</v>
      </c>
      <c r="B34" t="str">
        <f>"1209"</f>
        <v>1209</v>
      </c>
      <c r="C34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D34" t="str">
        <f t="shared" si="5"/>
        <v>1</v>
      </c>
      <c r="E34" t="str">
        <f>"4"</f>
        <v>4</v>
      </c>
      <c r="F34" t="str">
        <f>"1"</f>
        <v>1</v>
      </c>
      <c r="G34" s="2">
        <v>-66290250.299999997</v>
      </c>
    </row>
    <row r="35" spans="1:7" x14ac:dyDescent="0.25">
      <c r="A35" s="1">
        <v>44651</v>
      </c>
      <c r="B35" t="str">
        <f>"1209"</f>
        <v>1209</v>
      </c>
      <c r="C35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D35" t="str">
        <f t="shared" si="5"/>
        <v>1</v>
      </c>
      <c r="E35" t="str">
        <f>"6"</f>
        <v>6</v>
      </c>
      <c r="F35" t="str">
        <f>"1"</f>
        <v>1</v>
      </c>
      <c r="G35" s="2">
        <v>-22081491.460000001</v>
      </c>
    </row>
    <row r="36" spans="1:7" x14ac:dyDescent="0.25">
      <c r="A36" s="1">
        <v>44651</v>
      </c>
      <c r="B36" t="str">
        <f>"1251"</f>
        <v>1251</v>
      </c>
      <c r="C36" t="str">
        <f>"Вклады, размещенные в других банках (на одну ночь)"</f>
        <v>Вклады, размещенные в других банках (на одну ночь)</v>
      </c>
      <c r="D36" t="str">
        <f>"2"</f>
        <v>2</v>
      </c>
      <c r="E36" t="str">
        <f>"4"</f>
        <v>4</v>
      </c>
      <c r="F36" t="str">
        <f>"3"</f>
        <v>3</v>
      </c>
      <c r="G36" s="2">
        <v>7410000000</v>
      </c>
    </row>
    <row r="37" spans="1:7" x14ac:dyDescent="0.25">
      <c r="A37" s="1">
        <v>44651</v>
      </c>
      <c r="B37" t="str">
        <f>"1256"</f>
        <v>1256</v>
      </c>
      <c r="C37" t="str">
        <f>"Условные вклады, размещенные в других банках"</f>
        <v>Условные вклады, размещенные в других банках</v>
      </c>
      <c r="D37" t="str">
        <f>"2"</f>
        <v>2</v>
      </c>
      <c r="E37" t="str">
        <f>"3"</f>
        <v>3</v>
      </c>
      <c r="F37" t="str">
        <f>"2"</f>
        <v>2</v>
      </c>
      <c r="G37" s="2">
        <v>25288148026.790001</v>
      </c>
    </row>
    <row r="38" spans="1:7" x14ac:dyDescent="0.25">
      <c r="A38" s="1">
        <v>44651</v>
      </c>
      <c r="B38" t="str">
        <f>"1256"</f>
        <v>1256</v>
      </c>
      <c r="C38" t="str">
        <f>"Условные вклады, размещенные в других банках"</f>
        <v>Условные вклады, размещенные в других банках</v>
      </c>
      <c r="D38" t="str">
        <f>"2"</f>
        <v>2</v>
      </c>
      <c r="E38" t="str">
        <f>"4"</f>
        <v>4</v>
      </c>
      <c r="F38" t="str">
        <f>"2"</f>
        <v>2</v>
      </c>
      <c r="G38" s="2">
        <v>23353574.210000001</v>
      </c>
    </row>
    <row r="39" spans="1:7" x14ac:dyDescent="0.25">
      <c r="A39" s="1">
        <v>44651</v>
      </c>
      <c r="B39" t="str">
        <f t="shared" ref="B39:B45" si="6">"1259"</f>
        <v>1259</v>
      </c>
      <c r="C39" t="str">
        <f t="shared" ref="C39:C45" si="7">"Резервы (провизии) по вкладам, размещенным в других банках"</f>
        <v>Резервы (провизии) по вкладам, размещенным в других банках</v>
      </c>
      <c r="D39" t="str">
        <f>"1"</f>
        <v>1</v>
      </c>
      <c r="E39" t="str">
        <f>"3"</f>
        <v>3</v>
      </c>
      <c r="F39" t="str">
        <f>"1"</f>
        <v>1</v>
      </c>
      <c r="G39" s="2">
        <v>-7642161.2199999997</v>
      </c>
    </row>
    <row r="40" spans="1:7" x14ac:dyDescent="0.25">
      <c r="A40" s="1">
        <v>44651</v>
      </c>
      <c r="B40" t="str">
        <f t="shared" si="6"/>
        <v>1259</v>
      </c>
      <c r="C40" t="str">
        <f t="shared" si="7"/>
        <v>Резервы (провизии) по вкладам, размещенным в других банках</v>
      </c>
      <c r="D40" t="str">
        <f>"1"</f>
        <v>1</v>
      </c>
      <c r="E40" t="str">
        <f>"3"</f>
        <v>3</v>
      </c>
      <c r="F40" t="str">
        <f>"2"</f>
        <v>2</v>
      </c>
      <c r="G40" s="2">
        <v>-14336202</v>
      </c>
    </row>
    <row r="41" spans="1:7" x14ac:dyDescent="0.25">
      <c r="A41" s="1">
        <v>44651</v>
      </c>
      <c r="B41" t="str">
        <f t="shared" si="6"/>
        <v>1259</v>
      </c>
      <c r="C41" t="str">
        <f t="shared" si="7"/>
        <v>Резервы (провизии) по вкладам, размещенным в других банках</v>
      </c>
      <c r="D41" t="str">
        <f>"1"</f>
        <v>1</v>
      </c>
      <c r="E41" t="str">
        <f>"5"</f>
        <v>5</v>
      </c>
      <c r="F41" t="str">
        <f>"1"</f>
        <v>1</v>
      </c>
      <c r="G41" s="2">
        <v>-98575.26</v>
      </c>
    </row>
    <row r="42" spans="1:7" x14ac:dyDescent="0.25">
      <c r="A42" s="1">
        <v>44651</v>
      </c>
      <c r="B42" t="str">
        <f t="shared" si="6"/>
        <v>1259</v>
      </c>
      <c r="C42" t="str">
        <f t="shared" si="7"/>
        <v>Резервы (провизии) по вкладам, размещенным в других банках</v>
      </c>
      <c r="D42" t="str">
        <f>"2"</f>
        <v>2</v>
      </c>
      <c r="E42" t="str">
        <f>"3"</f>
        <v>3</v>
      </c>
      <c r="F42" t="str">
        <f>"2"</f>
        <v>2</v>
      </c>
      <c r="G42" s="2">
        <v>-184141.15</v>
      </c>
    </row>
    <row r="43" spans="1:7" x14ac:dyDescent="0.25">
      <c r="A43" s="1">
        <v>44651</v>
      </c>
      <c r="B43" t="str">
        <f t="shared" si="6"/>
        <v>1259</v>
      </c>
      <c r="C43" t="str">
        <f t="shared" si="7"/>
        <v>Резервы (провизии) по вкладам, размещенным в других банках</v>
      </c>
      <c r="D43" t="str">
        <f>"2"</f>
        <v>2</v>
      </c>
      <c r="E43" t="str">
        <f>"4"</f>
        <v>4</v>
      </c>
      <c r="F43" t="str">
        <f>"2"</f>
        <v>2</v>
      </c>
      <c r="G43" s="2">
        <v>-110147.09</v>
      </c>
    </row>
    <row r="44" spans="1:7" x14ac:dyDescent="0.25">
      <c r="A44" s="1">
        <v>44651</v>
      </c>
      <c r="B44" t="str">
        <f t="shared" si="6"/>
        <v>1259</v>
      </c>
      <c r="C44" t="str">
        <f t="shared" si="7"/>
        <v>Резервы (провизии) по вкладам, размещенным в других банках</v>
      </c>
      <c r="D44" t="str">
        <f>"2"</f>
        <v>2</v>
      </c>
      <c r="E44" t="str">
        <f>"4"</f>
        <v>4</v>
      </c>
      <c r="F44" t="str">
        <f>"3"</f>
        <v>3</v>
      </c>
      <c r="G44" s="2">
        <v>-6442604.9500000002</v>
      </c>
    </row>
    <row r="45" spans="1:7" x14ac:dyDescent="0.25">
      <c r="A45" s="1">
        <v>44651</v>
      </c>
      <c r="B45" t="str">
        <f t="shared" si="6"/>
        <v>1259</v>
      </c>
      <c r="C45" t="str">
        <f t="shared" si="7"/>
        <v>Резервы (провизии) по вкладам, размещенным в других банках</v>
      </c>
      <c r="D45" t="str">
        <f>"2"</f>
        <v>2</v>
      </c>
      <c r="E45" t="str">
        <f>"5"</f>
        <v>5</v>
      </c>
      <c r="F45" t="str">
        <f>"2"</f>
        <v>2</v>
      </c>
      <c r="G45" s="2">
        <v>-144275959.59999999</v>
      </c>
    </row>
    <row r="46" spans="1:7" x14ac:dyDescent="0.25">
      <c r="A46" s="1">
        <v>44651</v>
      </c>
      <c r="B46" t="str">
        <f>"1264"</f>
        <v>1264</v>
      </c>
      <c r="C46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D46" t="str">
        <f>"2"</f>
        <v>2</v>
      </c>
      <c r="E46" t="str">
        <f>"5"</f>
        <v>5</v>
      </c>
      <c r="F46" t="str">
        <f>"2"</f>
        <v>2</v>
      </c>
      <c r="G46" s="2">
        <v>9441192059.9899998</v>
      </c>
    </row>
    <row r="47" spans="1:7" x14ac:dyDescent="0.25">
      <c r="A47" s="1">
        <v>44651</v>
      </c>
      <c r="B47" t="str">
        <f>"1267"</f>
        <v>1267</v>
      </c>
      <c r="C4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D47" t="str">
        <f>"1"</f>
        <v>1</v>
      </c>
      <c r="E47" t="str">
        <f>"5"</f>
        <v>5</v>
      </c>
      <c r="F47" t="str">
        <f>"1"</f>
        <v>1</v>
      </c>
      <c r="G47" s="2">
        <v>53000000</v>
      </c>
    </row>
    <row r="48" spans="1:7" x14ac:dyDescent="0.25">
      <c r="A48" s="1">
        <v>44651</v>
      </c>
      <c r="B48" t="str">
        <f>"1267"</f>
        <v>1267</v>
      </c>
      <c r="C48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D48" t="str">
        <f>"2"</f>
        <v>2</v>
      </c>
      <c r="E48" t="str">
        <f>"4"</f>
        <v>4</v>
      </c>
      <c r="F48" t="str">
        <f>"2"</f>
        <v>2</v>
      </c>
      <c r="G48" s="2">
        <v>116577500</v>
      </c>
    </row>
    <row r="49" spans="1:7" x14ac:dyDescent="0.25">
      <c r="A49" s="1">
        <v>44651</v>
      </c>
      <c r="B49" t="str">
        <f t="shared" ref="B49:B57" si="8">"1401"</f>
        <v>1401</v>
      </c>
      <c r="C49" t="str">
        <f t="shared" ref="C49:C57" si="9">"Займы овердрафт, предоставленные клиентам"</f>
        <v>Займы овердрафт, предоставленные клиентам</v>
      </c>
      <c r="D49" t="str">
        <f t="shared" ref="D49:D54" si="10">"1"</f>
        <v>1</v>
      </c>
      <c r="E49" t="str">
        <f>"6"</f>
        <v>6</v>
      </c>
      <c r="F49" t="str">
        <f>"1"</f>
        <v>1</v>
      </c>
      <c r="G49" s="2">
        <v>87000000</v>
      </c>
    </row>
    <row r="50" spans="1:7" x14ac:dyDescent="0.25">
      <c r="A50" s="1">
        <v>44651</v>
      </c>
      <c r="B50" t="str">
        <f t="shared" si="8"/>
        <v>1401</v>
      </c>
      <c r="C50" t="str">
        <f t="shared" si="9"/>
        <v>Займы овердрафт, предоставленные клиентам</v>
      </c>
      <c r="D50" t="str">
        <f t="shared" si="10"/>
        <v>1</v>
      </c>
      <c r="E50" t="str">
        <f>"7"</f>
        <v>7</v>
      </c>
      <c r="F50" t="str">
        <f>"1"</f>
        <v>1</v>
      </c>
      <c r="G50" s="2">
        <v>4549177580.8299999</v>
      </c>
    </row>
    <row r="51" spans="1:7" x14ac:dyDescent="0.25">
      <c r="A51" s="1">
        <v>44651</v>
      </c>
      <c r="B51" t="str">
        <f t="shared" si="8"/>
        <v>1401</v>
      </c>
      <c r="C51" t="str">
        <f t="shared" si="9"/>
        <v>Займы овердрафт, предоставленные клиентам</v>
      </c>
      <c r="D51" t="str">
        <f t="shared" si="10"/>
        <v>1</v>
      </c>
      <c r="E51" t="str">
        <f>"8"</f>
        <v>8</v>
      </c>
      <c r="F51" t="str">
        <f>"1"</f>
        <v>1</v>
      </c>
      <c r="G51" s="2">
        <v>12589.92</v>
      </c>
    </row>
    <row r="52" spans="1:7" x14ac:dyDescent="0.25">
      <c r="A52" s="1">
        <v>44651</v>
      </c>
      <c r="B52" t="str">
        <f t="shared" si="8"/>
        <v>1401</v>
      </c>
      <c r="C52" t="str">
        <f t="shared" si="9"/>
        <v>Займы овердрафт, предоставленные клиентам</v>
      </c>
      <c r="D52" t="str">
        <f t="shared" si="10"/>
        <v>1</v>
      </c>
      <c r="E52" t="str">
        <f t="shared" ref="E52:E60" si="11">"9"</f>
        <v>9</v>
      </c>
      <c r="F52" t="str">
        <f>"1"</f>
        <v>1</v>
      </c>
      <c r="G52" s="2">
        <v>373257706.60000002</v>
      </c>
    </row>
    <row r="53" spans="1:7" x14ac:dyDescent="0.25">
      <c r="A53" s="1">
        <v>44651</v>
      </c>
      <c r="B53" t="str">
        <f t="shared" si="8"/>
        <v>1401</v>
      </c>
      <c r="C53" t="str">
        <f t="shared" si="9"/>
        <v>Займы овердрафт, предоставленные клиентам</v>
      </c>
      <c r="D53" t="str">
        <f t="shared" si="10"/>
        <v>1</v>
      </c>
      <c r="E53" t="str">
        <f t="shared" si="11"/>
        <v>9</v>
      </c>
      <c r="F53" t="str">
        <f>"2"</f>
        <v>2</v>
      </c>
      <c r="G53" s="2">
        <v>10280691.939999999</v>
      </c>
    </row>
    <row r="54" spans="1:7" x14ac:dyDescent="0.25">
      <c r="A54" s="1">
        <v>44651</v>
      </c>
      <c r="B54" t="str">
        <f t="shared" si="8"/>
        <v>1401</v>
      </c>
      <c r="C54" t="str">
        <f t="shared" si="9"/>
        <v>Займы овердрафт, предоставленные клиентам</v>
      </c>
      <c r="D54" t="str">
        <f t="shared" si="10"/>
        <v>1</v>
      </c>
      <c r="E54" t="str">
        <f t="shared" si="11"/>
        <v>9</v>
      </c>
      <c r="F54" t="str">
        <f>"3"</f>
        <v>3</v>
      </c>
      <c r="G54" s="2">
        <v>369127.32</v>
      </c>
    </row>
    <row r="55" spans="1:7" x14ac:dyDescent="0.25">
      <c r="A55" s="1">
        <v>44651</v>
      </c>
      <c r="B55" t="str">
        <f t="shared" si="8"/>
        <v>1401</v>
      </c>
      <c r="C55" t="str">
        <f t="shared" si="9"/>
        <v>Займы овердрафт, предоставленные клиентам</v>
      </c>
      <c r="D55" t="str">
        <f>"2"</f>
        <v>2</v>
      </c>
      <c r="E55" t="str">
        <f t="shared" si="11"/>
        <v>9</v>
      </c>
      <c r="F55" t="str">
        <f>"1"</f>
        <v>1</v>
      </c>
      <c r="G55" s="2">
        <v>92617.79</v>
      </c>
    </row>
    <row r="56" spans="1:7" x14ac:dyDescent="0.25">
      <c r="A56" s="1">
        <v>44651</v>
      </c>
      <c r="B56" t="str">
        <f t="shared" si="8"/>
        <v>1401</v>
      </c>
      <c r="C56" t="str">
        <f t="shared" si="9"/>
        <v>Займы овердрафт, предоставленные клиентам</v>
      </c>
      <c r="D56" t="str">
        <f>"2"</f>
        <v>2</v>
      </c>
      <c r="E56" t="str">
        <f t="shared" si="11"/>
        <v>9</v>
      </c>
      <c r="F56" t="str">
        <f>"2"</f>
        <v>2</v>
      </c>
      <c r="G56" s="2">
        <v>206603.43</v>
      </c>
    </row>
    <row r="57" spans="1:7" x14ac:dyDescent="0.25">
      <c r="A57" s="1">
        <v>44651</v>
      </c>
      <c r="B57" t="str">
        <f t="shared" si="8"/>
        <v>1401</v>
      </c>
      <c r="C57" t="str">
        <f t="shared" si="9"/>
        <v>Займы овердрафт, предоставленные клиентам</v>
      </c>
      <c r="D57" t="str">
        <f>"2"</f>
        <v>2</v>
      </c>
      <c r="E57" t="str">
        <f t="shared" si="11"/>
        <v>9</v>
      </c>
      <c r="F57" t="str">
        <f>"3"</f>
        <v>3</v>
      </c>
      <c r="G57" s="2">
        <v>11810.8</v>
      </c>
    </row>
    <row r="58" spans="1:7" x14ac:dyDescent="0.25">
      <c r="A58" s="1">
        <v>44651</v>
      </c>
      <c r="B58" t="str">
        <f>"1403"</f>
        <v>1403</v>
      </c>
      <c r="C58" t="str">
        <f>"Счета по кредитным карточкам клиентов"</f>
        <v>Счета по кредитным карточкам клиентов</v>
      </c>
      <c r="D58" t="str">
        <f>"1"</f>
        <v>1</v>
      </c>
      <c r="E58" t="str">
        <f t="shared" si="11"/>
        <v>9</v>
      </c>
      <c r="F58" t="str">
        <f>"1"</f>
        <v>1</v>
      </c>
      <c r="G58" s="2">
        <v>3977018566.73</v>
      </c>
    </row>
    <row r="59" spans="1:7" x14ac:dyDescent="0.25">
      <c r="A59" s="1">
        <v>44651</v>
      </c>
      <c r="B59" t="str">
        <f>"1403"</f>
        <v>1403</v>
      </c>
      <c r="C59" t="str">
        <f>"Счета по кредитным карточкам клиентов"</f>
        <v>Счета по кредитным карточкам клиентов</v>
      </c>
      <c r="D59" t="str">
        <f>"1"</f>
        <v>1</v>
      </c>
      <c r="E59" t="str">
        <f t="shared" si="11"/>
        <v>9</v>
      </c>
      <c r="F59" t="str">
        <f>"2"</f>
        <v>2</v>
      </c>
      <c r="G59" s="2">
        <v>21282518.969999999</v>
      </c>
    </row>
    <row r="60" spans="1:7" x14ac:dyDescent="0.25">
      <c r="A60" s="1">
        <v>44651</v>
      </c>
      <c r="B60" t="str">
        <f>"1403"</f>
        <v>1403</v>
      </c>
      <c r="C60" t="str">
        <f>"Счета по кредитным карточкам клиентов"</f>
        <v>Счета по кредитным карточкам клиентов</v>
      </c>
      <c r="D60" t="str">
        <f>"2"</f>
        <v>2</v>
      </c>
      <c r="E60" t="str">
        <f t="shared" si="11"/>
        <v>9</v>
      </c>
      <c r="F60" t="str">
        <f>"1"</f>
        <v>1</v>
      </c>
      <c r="G60" s="2">
        <v>4634203.93</v>
      </c>
    </row>
    <row r="61" spans="1:7" x14ac:dyDescent="0.25">
      <c r="A61" s="1">
        <v>44651</v>
      </c>
      <c r="B61" t="str">
        <f>"1411"</f>
        <v>1411</v>
      </c>
      <c r="C61" t="str">
        <f>"Краткосрочные займы, предоставленные клиентам"</f>
        <v>Краткосрочные займы, предоставленные клиентам</v>
      </c>
      <c r="D61" t="str">
        <f t="shared" ref="D61:D73" si="12">"1"</f>
        <v>1</v>
      </c>
      <c r="E61" t="str">
        <f>"5"</f>
        <v>5</v>
      </c>
      <c r="F61" t="str">
        <f>"1"</f>
        <v>1</v>
      </c>
      <c r="G61" s="2">
        <v>10738134849.280001</v>
      </c>
    </row>
    <row r="62" spans="1:7" x14ac:dyDescent="0.25">
      <c r="A62" s="1">
        <v>44651</v>
      </c>
      <c r="B62" t="str">
        <f>"1411"</f>
        <v>1411</v>
      </c>
      <c r="C62" t="str">
        <f>"Краткосрочные займы, предоставленные клиентам"</f>
        <v>Краткосрочные займы, предоставленные клиентам</v>
      </c>
      <c r="D62" t="str">
        <f t="shared" si="12"/>
        <v>1</v>
      </c>
      <c r="E62" t="str">
        <f>"6"</f>
        <v>6</v>
      </c>
      <c r="F62" t="str">
        <f>"1"</f>
        <v>1</v>
      </c>
      <c r="G62" s="2">
        <v>333295254.62</v>
      </c>
    </row>
    <row r="63" spans="1:7" x14ac:dyDescent="0.25">
      <c r="A63" s="1">
        <v>44651</v>
      </c>
      <c r="B63" t="str">
        <f>"1411"</f>
        <v>1411</v>
      </c>
      <c r="C63" t="str">
        <f>"Краткосрочные займы, предоставленные клиентам"</f>
        <v>Краткосрочные займы, предоставленные клиентам</v>
      </c>
      <c r="D63" t="str">
        <f t="shared" si="12"/>
        <v>1</v>
      </c>
      <c r="E63" t="str">
        <f>"7"</f>
        <v>7</v>
      </c>
      <c r="F63" t="str">
        <f>"1"</f>
        <v>1</v>
      </c>
      <c r="G63" s="2">
        <v>113740260058.98</v>
      </c>
    </row>
    <row r="64" spans="1:7" x14ac:dyDescent="0.25">
      <c r="A64" s="1">
        <v>44651</v>
      </c>
      <c r="B64" t="str">
        <f>"1411"</f>
        <v>1411</v>
      </c>
      <c r="C64" t="str">
        <f>"Краткосрочные займы, предоставленные клиентам"</f>
        <v>Краткосрочные займы, предоставленные клиентам</v>
      </c>
      <c r="D64" t="str">
        <f t="shared" si="12"/>
        <v>1</v>
      </c>
      <c r="E64" t="str">
        <f>"7"</f>
        <v>7</v>
      </c>
      <c r="F64" t="str">
        <f>"2"</f>
        <v>2</v>
      </c>
      <c r="G64" s="2">
        <v>17912223026.720001</v>
      </c>
    </row>
    <row r="65" spans="1:7" x14ac:dyDescent="0.25">
      <c r="A65" s="1">
        <v>44651</v>
      </c>
      <c r="B65" t="str">
        <f>"1411"</f>
        <v>1411</v>
      </c>
      <c r="C65" t="str">
        <f>"Краткосрочные займы, предоставленные клиентам"</f>
        <v>Краткосрочные займы, предоставленные клиентам</v>
      </c>
      <c r="D65" t="str">
        <f t="shared" si="12"/>
        <v>1</v>
      </c>
      <c r="E65" t="str">
        <f>"9"</f>
        <v>9</v>
      </c>
      <c r="F65" t="str">
        <f>"1"</f>
        <v>1</v>
      </c>
      <c r="G65" s="2">
        <v>6900897032.9700003</v>
      </c>
    </row>
    <row r="66" spans="1:7" x14ac:dyDescent="0.25">
      <c r="A66" s="1">
        <v>44651</v>
      </c>
      <c r="B66" t="str">
        <f t="shared" ref="B66:B74" si="13">"1417"</f>
        <v>1417</v>
      </c>
      <c r="C66" t="str">
        <f t="shared" ref="C66:C74" si="14">"Долгосрочные займы, предоставленные клиентам"</f>
        <v>Долгосрочные займы, предоставленные клиентам</v>
      </c>
      <c r="D66" t="str">
        <f t="shared" si="12"/>
        <v>1</v>
      </c>
      <c r="E66" t="str">
        <f>"5"</f>
        <v>5</v>
      </c>
      <c r="F66" t="str">
        <f>"1"</f>
        <v>1</v>
      </c>
      <c r="G66" s="2">
        <v>21112701714.459999</v>
      </c>
    </row>
    <row r="67" spans="1:7" x14ac:dyDescent="0.25">
      <c r="A67" s="1">
        <v>44651</v>
      </c>
      <c r="B67" t="str">
        <f t="shared" si="13"/>
        <v>1417</v>
      </c>
      <c r="C67" t="str">
        <f t="shared" si="14"/>
        <v>Долгосрочные займы, предоставленные клиентам</v>
      </c>
      <c r="D67" t="str">
        <f t="shared" si="12"/>
        <v>1</v>
      </c>
      <c r="E67" t="str">
        <f>"5"</f>
        <v>5</v>
      </c>
      <c r="F67" t="str">
        <f>"2"</f>
        <v>2</v>
      </c>
      <c r="G67" s="2">
        <v>963629615</v>
      </c>
    </row>
    <row r="68" spans="1:7" x14ac:dyDescent="0.25">
      <c r="A68" s="1">
        <v>44651</v>
      </c>
      <c r="B68" t="str">
        <f t="shared" si="13"/>
        <v>1417</v>
      </c>
      <c r="C68" t="str">
        <f t="shared" si="14"/>
        <v>Долгосрочные займы, предоставленные клиентам</v>
      </c>
      <c r="D68" t="str">
        <f t="shared" si="12"/>
        <v>1</v>
      </c>
      <c r="E68" t="str">
        <f>"6"</f>
        <v>6</v>
      </c>
      <c r="F68" t="str">
        <f>"1"</f>
        <v>1</v>
      </c>
      <c r="G68" s="2">
        <v>67283921.120000005</v>
      </c>
    </row>
    <row r="69" spans="1:7" x14ac:dyDescent="0.25">
      <c r="A69" s="1">
        <v>44651</v>
      </c>
      <c r="B69" t="str">
        <f t="shared" si="13"/>
        <v>1417</v>
      </c>
      <c r="C69" t="str">
        <f t="shared" si="14"/>
        <v>Долгосрочные займы, предоставленные клиентам</v>
      </c>
      <c r="D69" t="str">
        <f t="shared" si="12"/>
        <v>1</v>
      </c>
      <c r="E69" t="str">
        <f>"7"</f>
        <v>7</v>
      </c>
      <c r="F69" t="str">
        <f>"1"</f>
        <v>1</v>
      </c>
      <c r="G69" s="2">
        <v>159818257081.51999</v>
      </c>
    </row>
    <row r="70" spans="1:7" x14ac:dyDescent="0.25">
      <c r="A70" s="1">
        <v>44651</v>
      </c>
      <c r="B70" t="str">
        <f t="shared" si="13"/>
        <v>1417</v>
      </c>
      <c r="C70" t="str">
        <f t="shared" si="14"/>
        <v>Долгосрочные займы, предоставленные клиентам</v>
      </c>
      <c r="D70" t="str">
        <f t="shared" si="12"/>
        <v>1</v>
      </c>
      <c r="E70" t="str">
        <f>"7"</f>
        <v>7</v>
      </c>
      <c r="F70" t="str">
        <f>"2"</f>
        <v>2</v>
      </c>
      <c r="G70" s="2">
        <v>119414899226.97</v>
      </c>
    </row>
    <row r="71" spans="1:7" x14ac:dyDescent="0.25">
      <c r="A71" s="1">
        <v>44651</v>
      </c>
      <c r="B71" t="str">
        <f t="shared" si="13"/>
        <v>1417</v>
      </c>
      <c r="C71" t="str">
        <f t="shared" si="14"/>
        <v>Долгосрочные займы, предоставленные клиентам</v>
      </c>
      <c r="D71" t="str">
        <f t="shared" si="12"/>
        <v>1</v>
      </c>
      <c r="E71" t="str">
        <f>"8"</f>
        <v>8</v>
      </c>
      <c r="F71" t="str">
        <f>"1"</f>
        <v>1</v>
      </c>
      <c r="G71" s="2">
        <v>19044089.370000001</v>
      </c>
    </row>
    <row r="72" spans="1:7" x14ac:dyDescent="0.25">
      <c r="A72" s="1">
        <v>44651</v>
      </c>
      <c r="B72" t="str">
        <f t="shared" si="13"/>
        <v>1417</v>
      </c>
      <c r="C72" t="str">
        <f t="shared" si="14"/>
        <v>Долгосрочные займы, предоставленные клиентам</v>
      </c>
      <c r="D72" t="str">
        <f t="shared" si="12"/>
        <v>1</v>
      </c>
      <c r="E72" t="str">
        <f>"9"</f>
        <v>9</v>
      </c>
      <c r="F72" t="str">
        <f>"1"</f>
        <v>1</v>
      </c>
      <c r="G72" s="2">
        <v>423025430761.15002</v>
      </c>
    </row>
    <row r="73" spans="1:7" x14ac:dyDescent="0.25">
      <c r="A73" s="1">
        <v>44651</v>
      </c>
      <c r="B73" t="str">
        <f t="shared" si="13"/>
        <v>1417</v>
      </c>
      <c r="C73" t="str">
        <f t="shared" si="14"/>
        <v>Долгосрочные займы, предоставленные клиентам</v>
      </c>
      <c r="D73" t="str">
        <f t="shared" si="12"/>
        <v>1</v>
      </c>
      <c r="E73" t="str">
        <f>"9"</f>
        <v>9</v>
      </c>
      <c r="F73" t="str">
        <f>"2"</f>
        <v>2</v>
      </c>
      <c r="G73" s="2">
        <v>93029894.200000003</v>
      </c>
    </row>
    <row r="74" spans="1:7" x14ac:dyDescent="0.25">
      <c r="A74" s="1">
        <v>44651</v>
      </c>
      <c r="B74" t="str">
        <f t="shared" si="13"/>
        <v>1417</v>
      </c>
      <c r="C74" t="str">
        <f t="shared" si="14"/>
        <v>Долгосрочные займы, предоставленные клиентам</v>
      </c>
      <c r="D74" t="str">
        <f>"2"</f>
        <v>2</v>
      </c>
      <c r="E74" t="str">
        <f>"9"</f>
        <v>9</v>
      </c>
      <c r="F74" t="str">
        <f>"1"</f>
        <v>1</v>
      </c>
      <c r="G74" s="2">
        <v>35722322.109999999</v>
      </c>
    </row>
    <row r="75" spans="1:7" x14ac:dyDescent="0.25">
      <c r="A75" s="1">
        <v>44651</v>
      </c>
      <c r="B75" t="str">
        <f>"1421"</f>
        <v>1421</v>
      </c>
      <c r="C75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D75" t="str">
        <f t="shared" ref="D75:D85" si="15">"1"</f>
        <v>1</v>
      </c>
      <c r="E75" t="str">
        <f>"7"</f>
        <v>7</v>
      </c>
      <c r="F75" t="str">
        <f>"1"</f>
        <v>1</v>
      </c>
      <c r="G75" s="2">
        <v>7963203.0300000003</v>
      </c>
    </row>
    <row r="76" spans="1:7" x14ac:dyDescent="0.25">
      <c r="A76" s="1">
        <v>44651</v>
      </c>
      <c r="B76" t="str">
        <f>"1421"</f>
        <v>1421</v>
      </c>
      <c r="C76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D76" t="str">
        <f t="shared" si="15"/>
        <v>1</v>
      </c>
      <c r="E76" t="str">
        <f>"9"</f>
        <v>9</v>
      </c>
      <c r="F76" t="str">
        <f>"1"</f>
        <v>1</v>
      </c>
      <c r="G76" s="2">
        <v>1110231.77</v>
      </c>
    </row>
    <row r="77" spans="1:7" x14ac:dyDescent="0.25">
      <c r="A77" s="1">
        <v>44651</v>
      </c>
      <c r="B77" t="str">
        <f t="shared" ref="B77:B89" si="16">"1424"</f>
        <v>1424</v>
      </c>
      <c r="C77" t="str">
        <f t="shared" ref="C77:C89" si="17">"Просроченная задолженность клиентов по займам"</f>
        <v>Просроченная задолженность клиентов по займам</v>
      </c>
      <c r="D77" t="str">
        <f t="shared" si="15"/>
        <v>1</v>
      </c>
      <c r="E77" t="str">
        <f>"5"</f>
        <v>5</v>
      </c>
      <c r="F77" t="str">
        <f>"1"</f>
        <v>1</v>
      </c>
      <c r="G77" s="2">
        <v>2762985.16</v>
      </c>
    </row>
    <row r="78" spans="1:7" x14ac:dyDescent="0.25">
      <c r="A78" s="1">
        <v>44651</v>
      </c>
      <c r="B78" t="str">
        <f t="shared" si="16"/>
        <v>1424</v>
      </c>
      <c r="C78" t="str">
        <f t="shared" si="17"/>
        <v>Просроченная задолженность клиентов по займам</v>
      </c>
      <c r="D78" t="str">
        <f t="shared" si="15"/>
        <v>1</v>
      </c>
      <c r="E78" t="str">
        <f>"5"</f>
        <v>5</v>
      </c>
      <c r="F78" t="str">
        <f>"2"</f>
        <v>2</v>
      </c>
      <c r="G78" s="2">
        <v>15109842.93</v>
      </c>
    </row>
    <row r="79" spans="1:7" x14ac:dyDescent="0.25">
      <c r="A79" s="1">
        <v>44651</v>
      </c>
      <c r="B79" t="str">
        <f t="shared" si="16"/>
        <v>1424</v>
      </c>
      <c r="C79" t="str">
        <f t="shared" si="17"/>
        <v>Просроченная задолженность клиентов по займам</v>
      </c>
      <c r="D79" t="str">
        <f t="shared" si="15"/>
        <v>1</v>
      </c>
      <c r="E79" t="str">
        <f>"6"</f>
        <v>6</v>
      </c>
      <c r="F79" t="str">
        <f>"1"</f>
        <v>1</v>
      </c>
      <c r="G79" s="2">
        <v>2725.09</v>
      </c>
    </row>
    <row r="80" spans="1:7" x14ac:dyDescent="0.25">
      <c r="A80" s="1">
        <v>44651</v>
      </c>
      <c r="B80" t="str">
        <f t="shared" si="16"/>
        <v>1424</v>
      </c>
      <c r="C80" t="str">
        <f t="shared" si="17"/>
        <v>Просроченная задолженность клиентов по займам</v>
      </c>
      <c r="D80" t="str">
        <f t="shared" si="15"/>
        <v>1</v>
      </c>
      <c r="E80" t="str">
        <f>"7"</f>
        <v>7</v>
      </c>
      <c r="F80" t="str">
        <f>"1"</f>
        <v>1</v>
      </c>
      <c r="G80" s="2">
        <v>5924862851.8000002</v>
      </c>
    </row>
    <row r="81" spans="1:7" x14ac:dyDescent="0.25">
      <c r="A81" s="1">
        <v>44651</v>
      </c>
      <c r="B81" t="str">
        <f t="shared" si="16"/>
        <v>1424</v>
      </c>
      <c r="C81" t="str">
        <f t="shared" si="17"/>
        <v>Просроченная задолженность клиентов по займам</v>
      </c>
      <c r="D81" t="str">
        <f t="shared" si="15"/>
        <v>1</v>
      </c>
      <c r="E81" t="str">
        <f>"7"</f>
        <v>7</v>
      </c>
      <c r="F81" t="str">
        <f>"2"</f>
        <v>2</v>
      </c>
      <c r="G81" s="2">
        <v>352596552.69</v>
      </c>
    </row>
    <row r="82" spans="1:7" x14ac:dyDescent="0.25">
      <c r="A82" s="1">
        <v>44651</v>
      </c>
      <c r="B82" t="str">
        <f t="shared" si="16"/>
        <v>1424</v>
      </c>
      <c r="C82" t="str">
        <f t="shared" si="17"/>
        <v>Просроченная задолженность клиентов по займам</v>
      </c>
      <c r="D82" t="str">
        <f t="shared" si="15"/>
        <v>1</v>
      </c>
      <c r="E82" t="str">
        <f>"7"</f>
        <v>7</v>
      </c>
      <c r="F82" t="str">
        <f>"3"</f>
        <v>3</v>
      </c>
      <c r="G82" s="2">
        <v>4958377.16</v>
      </c>
    </row>
    <row r="83" spans="1:7" x14ac:dyDescent="0.25">
      <c r="A83" s="1">
        <v>44651</v>
      </c>
      <c r="B83" t="str">
        <f t="shared" si="16"/>
        <v>1424</v>
      </c>
      <c r="C83" t="str">
        <f t="shared" si="17"/>
        <v>Просроченная задолженность клиентов по займам</v>
      </c>
      <c r="D83" t="str">
        <f t="shared" si="15"/>
        <v>1</v>
      </c>
      <c r="E83" t="str">
        <f>"9"</f>
        <v>9</v>
      </c>
      <c r="F83" t="str">
        <f>"1"</f>
        <v>1</v>
      </c>
      <c r="G83" s="2">
        <v>25286551243.52</v>
      </c>
    </row>
    <row r="84" spans="1:7" x14ac:dyDescent="0.25">
      <c r="A84" s="1">
        <v>44651</v>
      </c>
      <c r="B84" t="str">
        <f t="shared" si="16"/>
        <v>1424</v>
      </c>
      <c r="C84" t="str">
        <f t="shared" si="17"/>
        <v>Просроченная задолженность клиентов по займам</v>
      </c>
      <c r="D84" t="str">
        <f t="shared" si="15"/>
        <v>1</v>
      </c>
      <c r="E84" t="str">
        <f>"9"</f>
        <v>9</v>
      </c>
      <c r="F84" t="str">
        <f>"2"</f>
        <v>2</v>
      </c>
      <c r="G84" s="2">
        <v>354461839.99000001</v>
      </c>
    </row>
    <row r="85" spans="1:7" x14ac:dyDescent="0.25">
      <c r="A85" s="1">
        <v>44651</v>
      </c>
      <c r="B85" t="str">
        <f t="shared" si="16"/>
        <v>1424</v>
      </c>
      <c r="C85" t="str">
        <f t="shared" si="17"/>
        <v>Просроченная задолженность клиентов по займам</v>
      </c>
      <c r="D85" t="str">
        <f t="shared" si="15"/>
        <v>1</v>
      </c>
      <c r="E85" t="str">
        <f>"9"</f>
        <v>9</v>
      </c>
      <c r="F85" t="str">
        <f>"3"</f>
        <v>3</v>
      </c>
      <c r="G85" s="2">
        <v>1881518.11</v>
      </c>
    </row>
    <row r="86" spans="1:7" x14ac:dyDescent="0.25">
      <c r="A86" s="1">
        <v>44651</v>
      </c>
      <c r="B86" t="str">
        <f t="shared" si="16"/>
        <v>1424</v>
      </c>
      <c r="C86" t="str">
        <f t="shared" si="17"/>
        <v>Просроченная задолженность клиентов по займам</v>
      </c>
      <c r="D86" t="str">
        <f>"2"</f>
        <v>2</v>
      </c>
      <c r="E86" t="str">
        <f>"7"</f>
        <v>7</v>
      </c>
      <c r="F86" t="str">
        <f>"2"</f>
        <v>2</v>
      </c>
      <c r="G86" s="2">
        <v>45703425.469999999</v>
      </c>
    </row>
    <row r="87" spans="1:7" x14ac:dyDescent="0.25">
      <c r="A87" s="1">
        <v>44651</v>
      </c>
      <c r="B87" t="str">
        <f t="shared" si="16"/>
        <v>1424</v>
      </c>
      <c r="C87" t="str">
        <f t="shared" si="17"/>
        <v>Просроченная задолженность клиентов по займам</v>
      </c>
      <c r="D87" t="str">
        <f>"2"</f>
        <v>2</v>
      </c>
      <c r="E87" t="str">
        <f>"9"</f>
        <v>9</v>
      </c>
      <c r="F87" t="str">
        <f>"1"</f>
        <v>1</v>
      </c>
      <c r="G87" s="2">
        <v>19778934.550000001</v>
      </c>
    </row>
    <row r="88" spans="1:7" x14ac:dyDescent="0.25">
      <c r="A88" s="1">
        <v>44651</v>
      </c>
      <c r="B88" t="str">
        <f t="shared" si="16"/>
        <v>1424</v>
      </c>
      <c r="C88" t="str">
        <f t="shared" si="17"/>
        <v>Просроченная задолженность клиентов по займам</v>
      </c>
      <c r="D88" t="str">
        <f>"2"</f>
        <v>2</v>
      </c>
      <c r="E88" t="str">
        <f>"9"</f>
        <v>9</v>
      </c>
      <c r="F88" t="str">
        <f>"2"</f>
        <v>2</v>
      </c>
      <c r="G88" s="2">
        <v>22495940.620000001</v>
      </c>
    </row>
    <row r="89" spans="1:7" x14ac:dyDescent="0.25">
      <c r="A89" s="1">
        <v>44651</v>
      </c>
      <c r="B89" t="str">
        <f t="shared" si="16"/>
        <v>1424</v>
      </c>
      <c r="C89" t="str">
        <f t="shared" si="17"/>
        <v>Просроченная задолженность клиентов по займам</v>
      </c>
      <c r="D89" t="str">
        <f>"2"</f>
        <v>2</v>
      </c>
      <c r="E89" t="str">
        <f>"9"</f>
        <v>9</v>
      </c>
      <c r="F89" t="str">
        <f>"3"</f>
        <v>3</v>
      </c>
      <c r="G89" s="2">
        <v>44961.78</v>
      </c>
    </row>
    <row r="90" spans="1:7" x14ac:dyDescent="0.25">
      <c r="A90" s="1">
        <v>44651</v>
      </c>
      <c r="B90" t="str">
        <f t="shared" ref="B90:B102" si="18">"1428"</f>
        <v>1428</v>
      </c>
      <c r="C90" t="str">
        <f t="shared" ref="C90:C102" si="19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D90" t="str">
        <f t="shared" ref="D90:D98" si="20">"1"</f>
        <v>1</v>
      </c>
      <c r="E90" t="str">
        <f>"5"</f>
        <v>5</v>
      </c>
      <c r="F90" t="str">
        <f>"1"</f>
        <v>1</v>
      </c>
      <c r="G90" s="2">
        <v>-349076686.86000001</v>
      </c>
    </row>
    <row r="91" spans="1:7" x14ac:dyDescent="0.25">
      <c r="A91" s="1">
        <v>44651</v>
      </c>
      <c r="B91" t="str">
        <f t="shared" si="18"/>
        <v>1428</v>
      </c>
      <c r="C91" t="str">
        <f t="shared" si="19"/>
        <v>Резервы (провизии) по займам и финансовому лизингу, предоставленным клиентам</v>
      </c>
      <c r="D91" t="str">
        <f t="shared" si="20"/>
        <v>1</v>
      </c>
      <c r="E91" t="str">
        <f>"5"</f>
        <v>5</v>
      </c>
      <c r="F91" t="str">
        <f>"2"</f>
        <v>2</v>
      </c>
      <c r="G91" s="2">
        <v>-49226360.219999999</v>
      </c>
    </row>
    <row r="92" spans="1:7" x14ac:dyDescent="0.25">
      <c r="A92" s="1">
        <v>44651</v>
      </c>
      <c r="B92" t="str">
        <f t="shared" si="18"/>
        <v>1428</v>
      </c>
      <c r="C92" t="str">
        <f t="shared" si="19"/>
        <v>Резервы (провизии) по займам и финансовому лизингу, предоставленным клиентам</v>
      </c>
      <c r="D92" t="str">
        <f t="shared" si="20"/>
        <v>1</v>
      </c>
      <c r="E92" t="str">
        <f>"6"</f>
        <v>6</v>
      </c>
      <c r="F92" t="str">
        <f>"1"</f>
        <v>1</v>
      </c>
      <c r="G92" s="2">
        <v>-5974504.7599999998</v>
      </c>
    </row>
    <row r="93" spans="1:7" x14ac:dyDescent="0.25">
      <c r="A93" s="1">
        <v>44651</v>
      </c>
      <c r="B93" t="str">
        <f t="shared" si="18"/>
        <v>1428</v>
      </c>
      <c r="C93" t="str">
        <f t="shared" si="19"/>
        <v>Резервы (провизии) по займам и финансовому лизингу, предоставленным клиентам</v>
      </c>
      <c r="D93" t="str">
        <f t="shared" si="20"/>
        <v>1</v>
      </c>
      <c r="E93" t="str">
        <f>"7"</f>
        <v>7</v>
      </c>
      <c r="F93" t="str">
        <f>"1"</f>
        <v>1</v>
      </c>
      <c r="G93" s="2">
        <v>-4382786253.8400002</v>
      </c>
    </row>
    <row r="94" spans="1:7" x14ac:dyDescent="0.25">
      <c r="A94" s="1">
        <v>44651</v>
      </c>
      <c r="B94" t="str">
        <f t="shared" si="18"/>
        <v>1428</v>
      </c>
      <c r="C94" t="str">
        <f t="shared" si="19"/>
        <v>Резервы (провизии) по займам и финансовому лизингу, предоставленным клиентам</v>
      </c>
      <c r="D94" t="str">
        <f t="shared" si="20"/>
        <v>1</v>
      </c>
      <c r="E94" t="str">
        <f>"7"</f>
        <v>7</v>
      </c>
      <c r="F94" t="str">
        <f>"2"</f>
        <v>2</v>
      </c>
      <c r="G94" s="2">
        <v>-6783431593.3900003</v>
      </c>
    </row>
    <row r="95" spans="1:7" x14ac:dyDescent="0.25">
      <c r="A95" s="1">
        <v>44651</v>
      </c>
      <c r="B95" t="str">
        <f t="shared" si="18"/>
        <v>1428</v>
      </c>
      <c r="C95" t="str">
        <f t="shared" si="19"/>
        <v>Резервы (провизии) по займам и финансовому лизингу, предоставленным клиентам</v>
      </c>
      <c r="D95" t="str">
        <f t="shared" si="20"/>
        <v>1</v>
      </c>
      <c r="E95" t="str">
        <f>"7"</f>
        <v>7</v>
      </c>
      <c r="F95" t="str">
        <f>"3"</f>
        <v>3</v>
      </c>
      <c r="G95" s="2">
        <v>-4437967.21</v>
      </c>
    </row>
    <row r="96" spans="1:7" x14ac:dyDescent="0.25">
      <c r="A96" s="1">
        <v>44651</v>
      </c>
      <c r="B96" t="str">
        <f t="shared" si="18"/>
        <v>1428</v>
      </c>
      <c r="C96" t="str">
        <f t="shared" si="19"/>
        <v>Резервы (провизии) по займам и финансовому лизингу, предоставленным клиентам</v>
      </c>
      <c r="D96" t="str">
        <f t="shared" si="20"/>
        <v>1</v>
      </c>
      <c r="E96" t="str">
        <f>"9"</f>
        <v>9</v>
      </c>
      <c r="F96" t="str">
        <f>"1"</f>
        <v>1</v>
      </c>
      <c r="G96" s="2">
        <v>-30643668468.619999</v>
      </c>
    </row>
    <row r="97" spans="1:7" x14ac:dyDescent="0.25">
      <c r="A97" s="1">
        <v>44651</v>
      </c>
      <c r="B97" t="str">
        <f t="shared" si="18"/>
        <v>1428</v>
      </c>
      <c r="C97" t="str">
        <f t="shared" si="19"/>
        <v>Резервы (провизии) по займам и финансовому лизингу, предоставленным клиентам</v>
      </c>
      <c r="D97" t="str">
        <f t="shared" si="20"/>
        <v>1</v>
      </c>
      <c r="E97" t="str">
        <f>"9"</f>
        <v>9</v>
      </c>
      <c r="F97" t="str">
        <f>"2"</f>
        <v>2</v>
      </c>
      <c r="G97" s="2">
        <v>-1597963240.79</v>
      </c>
    </row>
    <row r="98" spans="1:7" x14ac:dyDescent="0.25">
      <c r="A98" s="1">
        <v>44651</v>
      </c>
      <c r="B98" t="str">
        <f t="shared" si="18"/>
        <v>1428</v>
      </c>
      <c r="C98" t="str">
        <f t="shared" si="19"/>
        <v>Резервы (провизии) по займам и финансовому лизингу, предоставленным клиентам</v>
      </c>
      <c r="D98" t="str">
        <f t="shared" si="20"/>
        <v>1</v>
      </c>
      <c r="E98" t="str">
        <f>"9"</f>
        <v>9</v>
      </c>
      <c r="F98" t="str">
        <f>"3"</f>
        <v>3</v>
      </c>
      <c r="G98" s="2">
        <v>-30633.279999999999</v>
      </c>
    </row>
    <row r="99" spans="1:7" x14ac:dyDescent="0.25">
      <c r="A99" s="1">
        <v>44651</v>
      </c>
      <c r="B99" t="str">
        <f t="shared" si="18"/>
        <v>1428</v>
      </c>
      <c r="C99" t="str">
        <f t="shared" si="19"/>
        <v>Резервы (провизии) по займам и финансовому лизингу, предоставленным клиентам</v>
      </c>
      <c r="D99" t="str">
        <f>"2"</f>
        <v>2</v>
      </c>
      <c r="E99" t="str">
        <f>"7"</f>
        <v>7</v>
      </c>
      <c r="F99" t="str">
        <f>"2"</f>
        <v>2</v>
      </c>
      <c r="G99" s="2">
        <v>-147554613.19999999</v>
      </c>
    </row>
    <row r="100" spans="1:7" x14ac:dyDescent="0.25">
      <c r="A100" s="1">
        <v>44651</v>
      </c>
      <c r="B100" t="str">
        <f t="shared" si="18"/>
        <v>1428</v>
      </c>
      <c r="C100" t="str">
        <f t="shared" si="19"/>
        <v>Резервы (провизии) по займам и финансовому лизингу, предоставленным клиентам</v>
      </c>
      <c r="D100" t="str">
        <f>"2"</f>
        <v>2</v>
      </c>
      <c r="E100" t="str">
        <f>"9"</f>
        <v>9</v>
      </c>
      <c r="F100" t="str">
        <f>"1"</f>
        <v>1</v>
      </c>
      <c r="G100" s="2">
        <v>-1356061.23</v>
      </c>
    </row>
    <row r="101" spans="1:7" x14ac:dyDescent="0.25">
      <c r="A101" s="1">
        <v>44651</v>
      </c>
      <c r="B101" t="str">
        <f t="shared" si="18"/>
        <v>1428</v>
      </c>
      <c r="C101" t="str">
        <f t="shared" si="19"/>
        <v>Резервы (провизии) по займам и финансовому лизингу, предоставленным клиентам</v>
      </c>
      <c r="D101" t="str">
        <f>"2"</f>
        <v>2</v>
      </c>
      <c r="E101" t="str">
        <f>"9"</f>
        <v>9</v>
      </c>
      <c r="F101" t="str">
        <f>"2"</f>
        <v>2</v>
      </c>
      <c r="G101" s="2">
        <v>-23761330.030000001</v>
      </c>
    </row>
    <row r="102" spans="1:7" x14ac:dyDescent="0.25">
      <c r="A102" s="1">
        <v>44651</v>
      </c>
      <c r="B102" t="str">
        <f t="shared" si="18"/>
        <v>1428</v>
      </c>
      <c r="C102" t="str">
        <f t="shared" si="19"/>
        <v>Резервы (провизии) по займам и финансовому лизингу, предоставленным клиентам</v>
      </c>
      <c r="D102" t="str">
        <f>"2"</f>
        <v>2</v>
      </c>
      <c r="E102" t="str">
        <f>"9"</f>
        <v>9</v>
      </c>
      <c r="F102" t="str">
        <f>"3"</f>
        <v>3</v>
      </c>
      <c r="G102" s="2">
        <v>-791682.69</v>
      </c>
    </row>
    <row r="103" spans="1:7" x14ac:dyDescent="0.25">
      <c r="A103" s="1">
        <v>44651</v>
      </c>
      <c r="B103" t="str">
        <f>"1429"</f>
        <v>1429</v>
      </c>
      <c r="C103" t="str">
        <f>"Прочие займы, предоставленные клиентам"</f>
        <v>Прочие займы, предоставленные клиентам</v>
      </c>
      <c r="D103" t="str">
        <f t="shared" ref="D103:D112" si="21">"1"</f>
        <v>1</v>
      </c>
      <c r="E103" t="str">
        <f>"6"</f>
        <v>6</v>
      </c>
      <c r="F103" t="str">
        <f>"1"</f>
        <v>1</v>
      </c>
      <c r="G103" s="2">
        <v>5906600.9299999997</v>
      </c>
    </row>
    <row r="104" spans="1:7" x14ac:dyDescent="0.25">
      <c r="A104" s="1">
        <v>44651</v>
      </c>
      <c r="B104" t="str">
        <f>"1429"</f>
        <v>1429</v>
      </c>
      <c r="C104" t="str">
        <f>"Прочие займы, предоставленные клиентам"</f>
        <v>Прочие займы, предоставленные клиентам</v>
      </c>
      <c r="D104" t="str">
        <f t="shared" si="21"/>
        <v>1</v>
      </c>
      <c r="E104" t="str">
        <f>"7"</f>
        <v>7</v>
      </c>
      <c r="F104" t="str">
        <f>"1"</f>
        <v>1</v>
      </c>
      <c r="G104" s="2">
        <v>1811.3</v>
      </c>
    </row>
    <row r="105" spans="1:7" x14ac:dyDescent="0.25">
      <c r="A105" s="1">
        <v>44651</v>
      </c>
      <c r="B105" t="str">
        <f t="shared" ref="B105:B114" si="22">"1434"</f>
        <v>1434</v>
      </c>
      <c r="C105" t="str">
        <f t="shared" ref="C105:C114" si="23">"Дисконт по займам, предоставленным клиентам"</f>
        <v>Дисконт по займам, предоставленным клиентам</v>
      </c>
      <c r="D105" t="str">
        <f t="shared" si="21"/>
        <v>1</v>
      </c>
      <c r="E105" t="str">
        <f>"5"</f>
        <v>5</v>
      </c>
      <c r="F105" t="str">
        <f>"1"</f>
        <v>1</v>
      </c>
      <c r="G105" s="2">
        <v>-38179079.840000004</v>
      </c>
    </row>
    <row r="106" spans="1:7" x14ac:dyDescent="0.25">
      <c r="A106" s="1">
        <v>44651</v>
      </c>
      <c r="B106" t="str">
        <f t="shared" si="22"/>
        <v>1434</v>
      </c>
      <c r="C106" t="str">
        <f t="shared" si="23"/>
        <v>Дисконт по займам, предоставленным клиентам</v>
      </c>
      <c r="D106" t="str">
        <f t="shared" si="21"/>
        <v>1</v>
      </c>
      <c r="E106" t="str">
        <f>"6"</f>
        <v>6</v>
      </c>
      <c r="F106" t="str">
        <f>"1"</f>
        <v>1</v>
      </c>
      <c r="G106" s="2">
        <v>-6048971.3499999996</v>
      </c>
    </row>
    <row r="107" spans="1:7" x14ac:dyDescent="0.25">
      <c r="A107" s="1">
        <v>44651</v>
      </c>
      <c r="B107" t="str">
        <f t="shared" si="22"/>
        <v>1434</v>
      </c>
      <c r="C107" t="str">
        <f t="shared" si="23"/>
        <v>Дисконт по займам, предоставленным клиентам</v>
      </c>
      <c r="D107" t="str">
        <f t="shared" si="21"/>
        <v>1</v>
      </c>
      <c r="E107" t="str">
        <f>"6"</f>
        <v>6</v>
      </c>
      <c r="F107" t="str">
        <f>"2"</f>
        <v>2</v>
      </c>
      <c r="G107" s="2">
        <v>-13667079.789999999</v>
      </c>
    </row>
    <row r="108" spans="1:7" x14ac:dyDescent="0.25">
      <c r="A108" s="1">
        <v>44651</v>
      </c>
      <c r="B108" t="str">
        <f t="shared" si="22"/>
        <v>1434</v>
      </c>
      <c r="C108" t="str">
        <f t="shared" si="23"/>
        <v>Дисконт по займам, предоставленным клиентам</v>
      </c>
      <c r="D108" t="str">
        <f t="shared" si="21"/>
        <v>1</v>
      </c>
      <c r="E108" t="str">
        <f>"7"</f>
        <v>7</v>
      </c>
      <c r="F108" t="str">
        <f>"1"</f>
        <v>1</v>
      </c>
      <c r="G108" s="2">
        <v>-1671266800.6300001</v>
      </c>
    </row>
    <row r="109" spans="1:7" x14ac:dyDescent="0.25">
      <c r="A109" s="1">
        <v>44651</v>
      </c>
      <c r="B109" t="str">
        <f t="shared" si="22"/>
        <v>1434</v>
      </c>
      <c r="C109" t="str">
        <f t="shared" si="23"/>
        <v>Дисконт по займам, предоставленным клиентам</v>
      </c>
      <c r="D109" t="str">
        <f t="shared" si="21"/>
        <v>1</v>
      </c>
      <c r="E109" t="str">
        <f>"7"</f>
        <v>7</v>
      </c>
      <c r="F109" t="str">
        <f>"2"</f>
        <v>2</v>
      </c>
      <c r="G109" s="2">
        <v>-109156031.81</v>
      </c>
    </row>
    <row r="110" spans="1:7" x14ac:dyDescent="0.25">
      <c r="A110" s="1">
        <v>44651</v>
      </c>
      <c r="B110" t="str">
        <f t="shared" si="22"/>
        <v>1434</v>
      </c>
      <c r="C110" t="str">
        <f t="shared" si="23"/>
        <v>Дисконт по займам, предоставленным клиентам</v>
      </c>
      <c r="D110" t="str">
        <f t="shared" si="21"/>
        <v>1</v>
      </c>
      <c r="E110" t="str">
        <f>"8"</f>
        <v>8</v>
      </c>
      <c r="F110" t="str">
        <f>"1"</f>
        <v>1</v>
      </c>
      <c r="G110" s="2">
        <v>-261763</v>
      </c>
    </row>
    <row r="111" spans="1:7" x14ac:dyDescent="0.25">
      <c r="A111" s="1">
        <v>44651</v>
      </c>
      <c r="B111" t="str">
        <f t="shared" si="22"/>
        <v>1434</v>
      </c>
      <c r="C111" t="str">
        <f t="shared" si="23"/>
        <v>Дисконт по займам, предоставленным клиентам</v>
      </c>
      <c r="D111" t="str">
        <f t="shared" si="21"/>
        <v>1</v>
      </c>
      <c r="E111" t="str">
        <f>"9"</f>
        <v>9</v>
      </c>
      <c r="F111" t="str">
        <f>"1"</f>
        <v>1</v>
      </c>
      <c r="G111" s="2">
        <v>-3317558548.96</v>
      </c>
    </row>
    <row r="112" spans="1:7" x14ac:dyDescent="0.25">
      <c r="A112" s="1">
        <v>44651</v>
      </c>
      <c r="B112" t="str">
        <f t="shared" si="22"/>
        <v>1434</v>
      </c>
      <c r="C112" t="str">
        <f t="shared" si="23"/>
        <v>Дисконт по займам, предоставленным клиентам</v>
      </c>
      <c r="D112" t="str">
        <f t="shared" si="21"/>
        <v>1</v>
      </c>
      <c r="E112" t="str">
        <f>"9"</f>
        <v>9</v>
      </c>
      <c r="F112" t="str">
        <f>"2"</f>
        <v>2</v>
      </c>
      <c r="G112" s="2">
        <v>-73956.77</v>
      </c>
    </row>
    <row r="113" spans="1:7" x14ac:dyDescent="0.25">
      <c r="A113" s="1">
        <v>44651</v>
      </c>
      <c r="B113" t="str">
        <f t="shared" si="22"/>
        <v>1434</v>
      </c>
      <c r="C113" t="str">
        <f t="shared" si="23"/>
        <v>Дисконт по займам, предоставленным клиентам</v>
      </c>
      <c r="D113" t="str">
        <f>"2"</f>
        <v>2</v>
      </c>
      <c r="E113" t="str">
        <f>"7"</f>
        <v>7</v>
      </c>
      <c r="F113" t="str">
        <f>"1"</f>
        <v>1</v>
      </c>
      <c r="G113" s="2">
        <v>-842689</v>
      </c>
    </row>
    <row r="114" spans="1:7" x14ac:dyDescent="0.25">
      <c r="A114" s="1">
        <v>44651</v>
      </c>
      <c r="B114" t="str">
        <f t="shared" si="22"/>
        <v>1434</v>
      </c>
      <c r="C114" t="str">
        <f t="shared" si="23"/>
        <v>Дисконт по займам, предоставленным клиентам</v>
      </c>
      <c r="D114" t="str">
        <f>"2"</f>
        <v>2</v>
      </c>
      <c r="E114" t="str">
        <f>"9"</f>
        <v>9</v>
      </c>
      <c r="F114" t="str">
        <f>"1"</f>
        <v>1</v>
      </c>
      <c r="G114" s="2">
        <v>-223447.65</v>
      </c>
    </row>
    <row r="115" spans="1:7" x14ac:dyDescent="0.25">
      <c r="A115" s="1">
        <v>44651</v>
      </c>
      <c r="B115" t="str">
        <f t="shared" ref="B115:B124" si="24">"1435"</f>
        <v>1435</v>
      </c>
      <c r="C115" t="str">
        <f t="shared" ref="C115:C124" si="25">"Премия по займам, предоставленным клиентам"</f>
        <v>Премия по займам, предоставленным клиентам</v>
      </c>
      <c r="D115" t="str">
        <f t="shared" ref="D115:D121" si="26">"1"</f>
        <v>1</v>
      </c>
      <c r="E115" t="str">
        <f>"5"</f>
        <v>5</v>
      </c>
      <c r="F115" t="str">
        <f>"1"</f>
        <v>1</v>
      </c>
      <c r="G115" s="2">
        <v>181642257.06</v>
      </c>
    </row>
    <row r="116" spans="1:7" x14ac:dyDescent="0.25">
      <c r="A116" s="1">
        <v>44651</v>
      </c>
      <c r="B116" t="str">
        <f t="shared" si="24"/>
        <v>1435</v>
      </c>
      <c r="C116" t="str">
        <f t="shared" si="25"/>
        <v>Премия по займам, предоставленным клиентам</v>
      </c>
      <c r="D116" t="str">
        <f t="shared" si="26"/>
        <v>1</v>
      </c>
      <c r="E116" t="str">
        <f>"6"</f>
        <v>6</v>
      </c>
      <c r="F116" t="str">
        <f>"1"</f>
        <v>1</v>
      </c>
      <c r="G116" s="2">
        <v>10.050000000000001</v>
      </c>
    </row>
    <row r="117" spans="1:7" x14ac:dyDescent="0.25">
      <c r="A117" s="1">
        <v>44651</v>
      </c>
      <c r="B117" t="str">
        <f t="shared" si="24"/>
        <v>1435</v>
      </c>
      <c r="C117" t="str">
        <f t="shared" si="25"/>
        <v>Премия по займам, предоставленным клиентам</v>
      </c>
      <c r="D117" t="str">
        <f t="shared" si="26"/>
        <v>1</v>
      </c>
      <c r="E117" t="str">
        <f>"7"</f>
        <v>7</v>
      </c>
      <c r="F117" t="str">
        <f>"1"</f>
        <v>1</v>
      </c>
      <c r="G117" s="2">
        <v>3378646267.3600001</v>
      </c>
    </row>
    <row r="118" spans="1:7" x14ac:dyDescent="0.25">
      <c r="A118" s="1">
        <v>44651</v>
      </c>
      <c r="B118" t="str">
        <f t="shared" si="24"/>
        <v>1435</v>
      </c>
      <c r="C118" t="str">
        <f t="shared" si="25"/>
        <v>Премия по займам, предоставленным клиентам</v>
      </c>
      <c r="D118" t="str">
        <f t="shared" si="26"/>
        <v>1</v>
      </c>
      <c r="E118" t="str">
        <f>"7"</f>
        <v>7</v>
      </c>
      <c r="F118" t="str">
        <f>"2"</f>
        <v>2</v>
      </c>
      <c r="G118" s="2">
        <v>1708571185.3099999</v>
      </c>
    </row>
    <row r="119" spans="1:7" x14ac:dyDescent="0.25">
      <c r="A119" s="1">
        <v>44651</v>
      </c>
      <c r="B119" t="str">
        <f t="shared" si="24"/>
        <v>1435</v>
      </c>
      <c r="C119" t="str">
        <f t="shared" si="25"/>
        <v>Премия по займам, предоставленным клиентам</v>
      </c>
      <c r="D119" t="str">
        <f t="shared" si="26"/>
        <v>1</v>
      </c>
      <c r="E119" t="str">
        <f>"7"</f>
        <v>7</v>
      </c>
      <c r="F119" t="str">
        <f>"3"</f>
        <v>3</v>
      </c>
      <c r="G119" s="2">
        <v>703271293.42999995</v>
      </c>
    </row>
    <row r="120" spans="1:7" x14ac:dyDescent="0.25">
      <c r="A120" s="1">
        <v>44651</v>
      </c>
      <c r="B120" t="str">
        <f t="shared" si="24"/>
        <v>1435</v>
      </c>
      <c r="C120" t="str">
        <f t="shared" si="25"/>
        <v>Премия по займам, предоставленным клиентам</v>
      </c>
      <c r="D120" t="str">
        <f t="shared" si="26"/>
        <v>1</v>
      </c>
      <c r="E120" t="str">
        <f>"9"</f>
        <v>9</v>
      </c>
      <c r="F120" t="str">
        <f>"1"</f>
        <v>1</v>
      </c>
      <c r="G120" s="2">
        <v>9559903856.6200008</v>
      </c>
    </row>
    <row r="121" spans="1:7" x14ac:dyDescent="0.25">
      <c r="A121" s="1">
        <v>44651</v>
      </c>
      <c r="B121" t="str">
        <f t="shared" si="24"/>
        <v>1435</v>
      </c>
      <c r="C121" t="str">
        <f t="shared" si="25"/>
        <v>Премия по займам, предоставленным клиентам</v>
      </c>
      <c r="D121" t="str">
        <f t="shared" si="26"/>
        <v>1</v>
      </c>
      <c r="E121" t="str">
        <f>"9"</f>
        <v>9</v>
      </c>
      <c r="F121" t="str">
        <f>"2"</f>
        <v>2</v>
      </c>
      <c r="G121" s="2">
        <v>1497480657.3599999</v>
      </c>
    </row>
    <row r="122" spans="1:7" x14ac:dyDescent="0.25">
      <c r="A122" s="1">
        <v>44651</v>
      </c>
      <c r="B122" t="str">
        <f t="shared" si="24"/>
        <v>1435</v>
      </c>
      <c r="C122" t="str">
        <f t="shared" si="25"/>
        <v>Премия по займам, предоставленным клиентам</v>
      </c>
      <c r="D122" t="str">
        <f>"2"</f>
        <v>2</v>
      </c>
      <c r="E122" t="str">
        <f>"7"</f>
        <v>7</v>
      </c>
      <c r="F122" t="str">
        <f>"2"</f>
        <v>2</v>
      </c>
      <c r="G122" s="2">
        <v>89737386.540000007</v>
      </c>
    </row>
    <row r="123" spans="1:7" x14ac:dyDescent="0.25">
      <c r="A123" s="1">
        <v>44651</v>
      </c>
      <c r="B123" t="str">
        <f t="shared" si="24"/>
        <v>1435</v>
      </c>
      <c r="C123" t="str">
        <f t="shared" si="25"/>
        <v>Премия по займам, предоставленным клиентам</v>
      </c>
      <c r="D123" t="str">
        <f>"2"</f>
        <v>2</v>
      </c>
      <c r="E123" t="str">
        <f>"9"</f>
        <v>9</v>
      </c>
      <c r="F123" t="str">
        <f>"1"</f>
        <v>1</v>
      </c>
      <c r="G123" s="2">
        <v>1571281.74</v>
      </c>
    </row>
    <row r="124" spans="1:7" x14ac:dyDescent="0.25">
      <c r="A124" s="1">
        <v>44651</v>
      </c>
      <c r="B124" t="str">
        <f t="shared" si="24"/>
        <v>1435</v>
      </c>
      <c r="C124" t="str">
        <f t="shared" si="25"/>
        <v>Премия по займам, предоставленным клиентам</v>
      </c>
      <c r="D124" t="str">
        <f>"2"</f>
        <v>2</v>
      </c>
      <c r="E124" t="str">
        <f>"9"</f>
        <v>9</v>
      </c>
      <c r="F124" t="str">
        <f>"2"</f>
        <v>2</v>
      </c>
      <c r="G124" s="2">
        <v>2270495.12</v>
      </c>
    </row>
    <row r="125" spans="1:7" x14ac:dyDescent="0.25">
      <c r="A125" s="1">
        <v>44651</v>
      </c>
      <c r="B125" t="str">
        <f t="shared" ref="B125:B134" si="27">"1452"</f>
        <v>1452</v>
      </c>
      <c r="C125" t="str">
        <f t="shared" ref="C125:C134" si="28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D125" t="str">
        <f>"1"</f>
        <v>1</v>
      </c>
      <c r="E125" t="str">
        <f>"1"</f>
        <v>1</v>
      </c>
      <c r="F125" t="str">
        <f>"1"</f>
        <v>1</v>
      </c>
      <c r="G125" s="2">
        <v>422400683000</v>
      </c>
    </row>
    <row r="126" spans="1:7" x14ac:dyDescent="0.25">
      <c r="A126" s="1">
        <v>44651</v>
      </c>
      <c r="B126" t="str">
        <f t="shared" si="27"/>
        <v>1452</v>
      </c>
      <c r="C126" t="str">
        <f t="shared" si="28"/>
        <v>Ценные бумаги, учитываемые по справедливой стоимости через прочий совокупный доход</v>
      </c>
      <c r="D126" t="str">
        <f>"1"</f>
        <v>1</v>
      </c>
      <c r="E126" t="str">
        <f>"1"</f>
        <v>1</v>
      </c>
      <c r="F126" t="str">
        <f>"2"</f>
        <v>2</v>
      </c>
      <c r="G126" s="2">
        <v>83440413530</v>
      </c>
    </row>
    <row r="127" spans="1:7" x14ac:dyDescent="0.25">
      <c r="A127" s="1">
        <v>44651</v>
      </c>
      <c r="B127" t="str">
        <f t="shared" si="27"/>
        <v>1452</v>
      </c>
      <c r="C127" t="str">
        <f t="shared" si="28"/>
        <v>Ценные бумаги, учитываемые по справедливой стоимости через прочий совокупный доход</v>
      </c>
      <c r="D127" t="str">
        <f>"1"</f>
        <v>1</v>
      </c>
      <c r="E127" t="str">
        <f>"3"</f>
        <v>3</v>
      </c>
      <c r="F127" t="str">
        <f>"1"</f>
        <v>1</v>
      </c>
      <c r="G127" s="2">
        <v>1700000000</v>
      </c>
    </row>
    <row r="128" spans="1:7" x14ac:dyDescent="0.25">
      <c r="A128" s="1">
        <v>44651</v>
      </c>
      <c r="B128" t="str">
        <f t="shared" si="27"/>
        <v>1452</v>
      </c>
      <c r="C128" t="str">
        <f t="shared" si="28"/>
        <v>Ценные бумаги, учитываемые по справедливой стоимости через прочий совокупный доход</v>
      </c>
      <c r="D128" t="str">
        <f>"1"</f>
        <v>1</v>
      </c>
      <c r="E128" t="str">
        <f>"4"</f>
        <v>4</v>
      </c>
      <c r="F128" t="str">
        <f>"2"</f>
        <v>2</v>
      </c>
      <c r="G128" s="2">
        <v>13409676670</v>
      </c>
    </row>
    <row r="129" spans="1:7" x14ac:dyDescent="0.25">
      <c r="A129" s="1">
        <v>44651</v>
      </c>
      <c r="B129" t="str">
        <f t="shared" si="27"/>
        <v>1452</v>
      </c>
      <c r="C129" t="str">
        <f t="shared" si="28"/>
        <v>Ценные бумаги, учитываемые по справедливой стоимости через прочий совокупный доход</v>
      </c>
      <c r="D129" t="str">
        <f>"1"</f>
        <v>1</v>
      </c>
      <c r="E129" t="str">
        <f>"5"</f>
        <v>5</v>
      </c>
      <c r="F129" t="str">
        <f>"1"</f>
        <v>1</v>
      </c>
      <c r="G129" s="2">
        <v>91038676000</v>
      </c>
    </row>
    <row r="130" spans="1:7" x14ac:dyDescent="0.25">
      <c r="A130" s="1">
        <v>44651</v>
      </c>
      <c r="B130" t="str">
        <f t="shared" si="27"/>
        <v>1452</v>
      </c>
      <c r="C130" t="str">
        <f t="shared" si="28"/>
        <v>Ценные бумаги, учитываемые по справедливой стоимости через прочий совокупный доход</v>
      </c>
      <c r="D130" t="str">
        <f>"1"</f>
        <v>1</v>
      </c>
      <c r="E130" t="str">
        <f>"6"</f>
        <v>6</v>
      </c>
      <c r="F130" t="str">
        <f>"2"</f>
        <v>2</v>
      </c>
      <c r="G130" s="2">
        <v>3730480000</v>
      </c>
    </row>
    <row r="131" spans="1:7" x14ac:dyDescent="0.25">
      <c r="A131" s="1">
        <v>44651</v>
      </c>
      <c r="B131" t="str">
        <f t="shared" si="27"/>
        <v>1452</v>
      </c>
      <c r="C131" t="str">
        <f t="shared" si="28"/>
        <v>Ценные бумаги, учитываемые по справедливой стоимости через прочий совокупный доход</v>
      </c>
      <c r="D131" t="str">
        <f>"2"</f>
        <v>2</v>
      </c>
      <c r="E131" t="str">
        <f>"3"</f>
        <v>3</v>
      </c>
      <c r="F131" t="str">
        <f>"2"</f>
        <v>2</v>
      </c>
      <c r="G131" s="2">
        <v>2415485800</v>
      </c>
    </row>
    <row r="132" spans="1:7" x14ac:dyDescent="0.25">
      <c r="A132" s="1">
        <v>44651</v>
      </c>
      <c r="B132" t="str">
        <f t="shared" si="27"/>
        <v>1452</v>
      </c>
      <c r="C132" t="str">
        <f t="shared" si="28"/>
        <v>Ценные бумаги, учитываемые по справедливой стоимости через прочий совокупный доход</v>
      </c>
      <c r="D132" t="str">
        <f>"2"</f>
        <v>2</v>
      </c>
      <c r="E132" t="str">
        <f>"4"</f>
        <v>4</v>
      </c>
      <c r="F132" t="str">
        <f>"2"</f>
        <v>2</v>
      </c>
      <c r="G132" s="2">
        <v>4919570500</v>
      </c>
    </row>
    <row r="133" spans="1:7" x14ac:dyDescent="0.25">
      <c r="A133" s="1">
        <v>44651</v>
      </c>
      <c r="B133" t="str">
        <f t="shared" si="27"/>
        <v>1452</v>
      </c>
      <c r="C133" t="str">
        <f t="shared" si="28"/>
        <v>Ценные бумаги, учитываемые по справедливой стоимости через прочий совокупный доход</v>
      </c>
      <c r="D133" t="str">
        <f>"2"</f>
        <v>2</v>
      </c>
      <c r="E133" t="str">
        <f>"5"</f>
        <v>5</v>
      </c>
      <c r="F133" t="str">
        <f>"2"</f>
        <v>2</v>
      </c>
      <c r="G133" s="2">
        <v>16154843640</v>
      </c>
    </row>
    <row r="134" spans="1:7" x14ac:dyDescent="0.25">
      <c r="A134" s="1">
        <v>44651</v>
      </c>
      <c r="B134" t="str">
        <f t="shared" si="27"/>
        <v>1452</v>
      </c>
      <c r="C134" t="str">
        <f t="shared" si="28"/>
        <v>Ценные бумаги, учитываемые по справедливой стоимости через прочий совокупный доход</v>
      </c>
      <c r="D134" t="str">
        <f>"2"</f>
        <v>2</v>
      </c>
      <c r="E134" t="str">
        <f>"7"</f>
        <v>7</v>
      </c>
      <c r="F134" t="str">
        <f>"2"</f>
        <v>2</v>
      </c>
      <c r="G134" s="2">
        <v>2098395000</v>
      </c>
    </row>
    <row r="135" spans="1:7" x14ac:dyDescent="0.25">
      <c r="A135" s="1">
        <v>44651</v>
      </c>
      <c r="B135" t="str">
        <f t="shared" ref="B135:B143" si="29">"1453"</f>
        <v>1453</v>
      </c>
      <c r="C135" t="str">
        <f t="shared" ref="C135:C143" si="30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D135" t="str">
        <f>"1"</f>
        <v>1</v>
      </c>
      <c r="E135" t="str">
        <f>"1"</f>
        <v>1</v>
      </c>
      <c r="F135" t="str">
        <f>"1"</f>
        <v>1</v>
      </c>
      <c r="G135" s="2">
        <v>-15180007053.940001</v>
      </c>
    </row>
    <row r="136" spans="1:7" x14ac:dyDescent="0.25">
      <c r="A136" s="1">
        <v>44651</v>
      </c>
      <c r="B136" t="str">
        <f t="shared" si="29"/>
        <v>1453</v>
      </c>
      <c r="C136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D136" t="str">
        <f>"1"</f>
        <v>1</v>
      </c>
      <c r="E136" t="str">
        <f>"1"</f>
        <v>1</v>
      </c>
      <c r="F136" t="str">
        <f>"2"</f>
        <v>2</v>
      </c>
      <c r="G136" s="2">
        <v>-685661653.92999995</v>
      </c>
    </row>
    <row r="137" spans="1:7" x14ac:dyDescent="0.25">
      <c r="A137" s="1">
        <v>44651</v>
      </c>
      <c r="B137" t="str">
        <f t="shared" si="29"/>
        <v>1453</v>
      </c>
      <c r="C137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D137" t="str">
        <f>"1"</f>
        <v>1</v>
      </c>
      <c r="E137" t="str">
        <f>"3"</f>
        <v>3</v>
      </c>
      <c r="F137" t="str">
        <f>"1"</f>
        <v>1</v>
      </c>
      <c r="G137" s="2">
        <v>-90172095.409999996</v>
      </c>
    </row>
    <row r="138" spans="1:7" x14ac:dyDescent="0.25">
      <c r="A138" s="1">
        <v>44651</v>
      </c>
      <c r="B138" t="str">
        <f t="shared" si="29"/>
        <v>1453</v>
      </c>
      <c r="C138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D138" t="str">
        <f>"1"</f>
        <v>1</v>
      </c>
      <c r="E138" t="str">
        <f>"4"</f>
        <v>4</v>
      </c>
      <c r="F138" t="str">
        <f>"2"</f>
        <v>2</v>
      </c>
      <c r="G138" s="2">
        <v>-346165.23</v>
      </c>
    </row>
    <row r="139" spans="1:7" x14ac:dyDescent="0.25">
      <c r="A139" s="1">
        <v>44651</v>
      </c>
      <c r="B139" t="str">
        <f t="shared" si="29"/>
        <v>1453</v>
      </c>
      <c r="C139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D139" t="str">
        <f>"1"</f>
        <v>1</v>
      </c>
      <c r="E139" t="str">
        <f>"5"</f>
        <v>5</v>
      </c>
      <c r="F139" t="str">
        <f>"1"</f>
        <v>1</v>
      </c>
      <c r="G139" s="2">
        <v>-1773268162.4100001</v>
      </c>
    </row>
    <row r="140" spans="1:7" x14ac:dyDescent="0.25">
      <c r="A140" s="1">
        <v>44651</v>
      </c>
      <c r="B140" t="str">
        <f t="shared" si="29"/>
        <v>1453</v>
      </c>
      <c r="C140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D140" t="str">
        <f>"2"</f>
        <v>2</v>
      </c>
      <c r="E140" t="str">
        <f>"3"</f>
        <v>3</v>
      </c>
      <c r="F140" t="str">
        <f>"2"</f>
        <v>2</v>
      </c>
      <c r="G140" s="2">
        <v>-4303668.25</v>
      </c>
    </row>
    <row r="141" spans="1:7" x14ac:dyDescent="0.25">
      <c r="A141" s="1">
        <v>44651</v>
      </c>
      <c r="B141" t="str">
        <f t="shared" si="29"/>
        <v>1453</v>
      </c>
      <c r="C141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D141" t="str">
        <f>"2"</f>
        <v>2</v>
      </c>
      <c r="E141" t="str">
        <f>"4"</f>
        <v>4</v>
      </c>
      <c r="F141" t="str">
        <f>"2"</f>
        <v>2</v>
      </c>
      <c r="G141" s="2">
        <v>-4655834.8899999997</v>
      </c>
    </row>
    <row r="142" spans="1:7" x14ac:dyDescent="0.25">
      <c r="A142" s="1">
        <v>44651</v>
      </c>
      <c r="B142" t="str">
        <f t="shared" si="29"/>
        <v>1453</v>
      </c>
      <c r="C142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D142" t="str">
        <f>"2"</f>
        <v>2</v>
      </c>
      <c r="E142" t="str">
        <f>"5"</f>
        <v>5</v>
      </c>
      <c r="F142" t="str">
        <f>"2"</f>
        <v>2</v>
      </c>
      <c r="G142" s="2">
        <v>-372469463.17000002</v>
      </c>
    </row>
    <row r="143" spans="1:7" x14ac:dyDescent="0.25">
      <c r="A143" s="1">
        <v>44651</v>
      </c>
      <c r="B143" t="str">
        <f t="shared" si="29"/>
        <v>1453</v>
      </c>
      <c r="C143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D143" t="str">
        <f>"2"</f>
        <v>2</v>
      </c>
      <c r="E143" t="str">
        <f>"7"</f>
        <v>7</v>
      </c>
      <c r="F143" t="str">
        <f>"2"</f>
        <v>2</v>
      </c>
      <c r="G143" s="2">
        <v>-2996517.39</v>
      </c>
    </row>
    <row r="144" spans="1:7" x14ac:dyDescent="0.25">
      <c r="A144" s="1">
        <v>44651</v>
      </c>
      <c r="B144" t="str">
        <f t="shared" ref="B144:B152" si="31">"1454"</f>
        <v>1454</v>
      </c>
      <c r="C144" t="str">
        <f t="shared" ref="C144:C152" si="32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D144" t="str">
        <f>"1"</f>
        <v>1</v>
      </c>
      <c r="E144" t="str">
        <f>"1"</f>
        <v>1</v>
      </c>
      <c r="F144" t="str">
        <f>"1"</f>
        <v>1</v>
      </c>
      <c r="G144" s="2">
        <v>15371968.08</v>
      </c>
    </row>
    <row r="145" spans="1:7" x14ac:dyDescent="0.25">
      <c r="A145" s="1">
        <v>44651</v>
      </c>
      <c r="B145" t="str">
        <f t="shared" si="31"/>
        <v>1454</v>
      </c>
      <c r="C145" t="str">
        <f t="shared" si="32"/>
        <v>Премия по приобретенным ценным бумагам, учитываемым по справедливой стоимости через прочий совокупный доход</v>
      </c>
      <c r="D145" t="str">
        <f>"1"</f>
        <v>1</v>
      </c>
      <c r="E145" t="str">
        <f>"1"</f>
        <v>1</v>
      </c>
      <c r="F145" t="str">
        <f>"2"</f>
        <v>2</v>
      </c>
      <c r="G145" s="2">
        <v>1759673964.4200001</v>
      </c>
    </row>
    <row r="146" spans="1:7" x14ac:dyDescent="0.25">
      <c r="A146" s="1">
        <v>44651</v>
      </c>
      <c r="B146" t="str">
        <f t="shared" si="31"/>
        <v>1454</v>
      </c>
      <c r="C146" t="str">
        <f t="shared" si="32"/>
        <v>Премия по приобретенным ценным бумагам, учитываемым по справедливой стоимости через прочий совокупный доход</v>
      </c>
      <c r="D146" t="str">
        <f>"1"</f>
        <v>1</v>
      </c>
      <c r="E146" t="str">
        <f>"4"</f>
        <v>4</v>
      </c>
      <c r="F146" t="str">
        <f>"2"</f>
        <v>2</v>
      </c>
      <c r="G146" s="2">
        <v>53093856.090000004</v>
      </c>
    </row>
    <row r="147" spans="1:7" x14ac:dyDescent="0.25">
      <c r="A147" s="1">
        <v>44651</v>
      </c>
      <c r="B147" t="str">
        <f t="shared" si="31"/>
        <v>1454</v>
      </c>
      <c r="C147" t="str">
        <f t="shared" si="32"/>
        <v>Премия по приобретенным ценным бумагам, учитываемым по справедливой стоимости через прочий совокупный доход</v>
      </c>
      <c r="D147" t="str">
        <f>"1"</f>
        <v>1</v>
      </c>
      <c r="E147" t="str">
        <f>"5"</f>
        <v>5</v>
      </c>
      <c r="F147" t="str">
        <f>"1"</f>
        <v>1</v>
      </c>
      <c r="G147" s="2">
        <v>563608.22</v>
      </c>
    </row>
    <row r="148" spans="1:7" x14ac:dyDescent="0.25">
      <c r="A148" s="1">
        <v>44651</v>
      </c>
      <c r="B148" t="str">
        <f t="shared" si="31"/>
        <v>1454</v>
      </c>
      <c r="C148" t="str">
        <f t="shared" si="32"/>
        <v>Премия по приобретенным ценным бумагам, учитываемым по справедливой стоимости через прочий совокупный доход</v>
      </c>
      <c r="D148" t="str">
        <f>"1"</f>
        <v>1</v>
      </c>
      <c r="E148" t="str">
        <f>"6"</f>
        <v>6</v>
      </c>
      <c r="F148" t="str">
        <f>"2"</f>
        <v>2</v>
      </c>
      <c r="G148" s="2">
        <v>390805042.82999998</v>
      </c>
    </row>
    <row r="149" spans="1:7" x14ac:dyDescent="0.25">
      <c r="A149" s="1">
        <v>44651</v>
      </c>
      <c r="B149" t="str">
        <f t="shared" si="31"/>
        <v>1454</v>
      </c>
      <c r="C149" t="str">
        <f t="shared" si="32"/>
        <v>Премия по приобретенным ценным бумагам, учитываемым по справедливой стоимости через прочий совокупный доход</v>
      </c>
      <c r="D149" t="str">
        <f>"2"</f>
        <v>2</v>
      </c>
      <c r="E149" t="str">
        <f>"3"</f>
        <v>3</v>
      </c>
      <c r="F149" t="str">
        <f>"2"</f>
        <v>2</v>
      </c>
      <c r="G149" s="2">
        <v>15498894.689999999</v>
      </c>
    </row>
    <row r="150" spans="1:7" x14ac:dyDescent="0.25">
      <c r="A150" s="1">
        <v>44651</v>
      </c>
      <c r="B150" t="str">
        <f t="shared" si="31"/>
        <v>1454</v>
      </c>
      <c r="C150" t="str">
        <f t="shared" si="32"/>
        <v>Премия по приобретенным ценным бумагам, учитываемым по справедливой стоимости через прочий совокупный доход</v>
      </c>
      <c r="D150" t="str">
        <f>"2"</f>
        <v>2</v>
      </c>
      <c r="E150" t="str">
        <f>"4"</f>
        <v>4</v>
      </c>
      <c r="F150" t="str">
        <f>"2"</f>
        <v>2</v>
      </c>
      <c r="G150" s="2">
        <v>157959444.18000001</v>
      </c>
    </row>
    <row r="151" spans="1:7" x14ac:dyDescent="0.25">
      <c r="A151" s="1">
        <v>44651</v>
      </c>
      <c r="B151" t="str">
        <f t="shared" si="31"/>
        <v>1454</v>
      </c>
      <c r="C151" t="str">
        <f t="shared" si="32"/>
        <v>Премия по приобретенным ценным бумагам, учитываемым по справедливой стоимости через прочий совокупный доход</v>
      </c>
      <c r="D151" t="str">
        <f>"2"</f>
        <v>2</v>
      </c>
      <c r="E151" t="str">
        <f>"5"</f>
        <v>5</v>
      </c>
      <c r="F151" t="str">
        <f>"2"</f>
        <v>2</v>
      </c>
      <c r="G151" s="2">
        <v>227008931.61000001</v>
      </c>
    </row>
    <row r="152" spans="1:7" x14ac:dyDescent="0.25">
      <c r="A152" s="1">
        <v>44651</v>
      </c>
      <c r="B152" t="str">
        <f t="shared" si="31"/>
        <v>1454</v>
      </c>
      <c r="C152" t="str">
        <f t="shared" si="32"/>
        <v>Премия по приобретенным ценным бумагам, учитываемым по справедливой стоимости через прочий совокупный доход</v>
      </c>
      <c r="D152" t="str">
        <f>"2"</f>
        <v>2</v>
      </c>
      <c r="E152" t="str">
        <f>"7"</f>
        <v>7</v>
      </c>
      <c r="F152" t="str">
        <f>"2"</f>
        <v>2</v>
      </c>
      <c r="G152" s="2">
        <v>63262109.359999999</v>
      </c>
    </row>
    <row r="153" spans="1:7" x14ac:dyDescent="0.25">
      <c r="A153" s="1">
        <v>44651</v>
      </c>
      <c r="B153" t="str">
        <f t="shared" ref="B153:B162" si="33">"1456"</f>
        <v>1456</v>
      </c>
      <c r="C153" t="str">
        <f t="shared" ref="C153:C162" si="34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D153" t="str">
        <f>"1"</f>
        <v>1</v>
      </c>
      <c r="E153" t="str">
        <f>"1"</f>
        <v>1</v>
      </c>
      <c r="F153" t="str">
        <f>"1"</f>
        <v>1</v>
      </c>
      <c r="G153" s="2">
        <v>322274249.39999998</v>
      </c>
    </row>
    <row r="154" spans="1:7" x14ac:dyDescent="0.25">
      <c r="A154" s="1">
        <v>44651</v>
      </c>
      <c r="B154" t="str">
        <f t="shared" si="33"/>
        <v>1456</v>
      </c>
      <c r="C154" t="str">
        <f t="shared" si="34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D154" t="str">
        <f>"1"</f>
        <v>1</v>
      </c>
      <c r="E154" t="str">
        <f>"1"</f>
        <v>1</v>
      </c>
      <c r="F154" t="str">
        <f>"2"</f>
        <v>2</v>
      </c>
      <c r="G154" s="2">
        <v>1355985105.95</v>
      </c>
    </row>
    <row r="155" spans="1:7" x14ac:dyDescent="0.25">
      <c r="A155" s="1">
        <v>44651</v>
      </c>
      <c r="B155" t="str">
        <f t="shared" si="33"/>
        <v>1456</v>
      </c>
      <c r="C155" t="str">
        <f t="shared" si="34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D155" t="str">
        <f>"1"</f>
        <v>1</v>
      </c>
      <c r="E155" t="str">
        <f>"3"</f>
        <v>3</v>
      </c>
      <c r="F155" t="str">
        <f>"1"</f>
        <v>1</v>
      </c>
      <c r="G155" s="2">
        <v>6720795.4100000001</v>
      </c>
    </row>
    <row r="156" spans="1:7" x14ac:dyDescent="0.25">
      <c r="A156" s="1">
        <v>44651</v>
      </c>
      <c r="B156" t="str">
        <f t="shared" si="33"/>
        <v>1456</v>
      </c>
      <c r="C156" t="str">
        <f t="shared" si="34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D156" t="str">
        <f>"1"</f>
        <v>1</v>
      </c>
      <c r="E156" t="str">
        <f>"4"</f>
        <v>4</v>
      </c>
      <c r="F156" t="str">
        <f>"2"</f>
        <v>2</v>
      </c>
      <c r="G156" s="2">
        <v>0</v>
      </c>
    </row>
    <row r="157" spans="1:7" x14ac:dyDescent="0.25">
      <c r="A157" s="1">
        <v>44651</v>
      </c>
      <c r="B157" t="str">
        <f t="shared" si="33"/>
        <v>1456</v>
      </c>
      <c r="C157" t="str">
        <f t="shared" si="34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D157" t="str">
        <f>"1"</f>
        <v>1</v>
      </c>
      <c r="E157" t="str">
        <f>"5"</f>
        <v>5</v>
      </c>
      <c r="F157" t="str">
        <f>"1"</f>
        <v>1</v>
      </c>
      <c r="G157" s="2">
        <v>1709988979.1800001</v>
      </c>
    </row>
    <row r="158" spans="1:7" x14ac:dyDescent="0.25">
      <c r="A158" s="1">
        <v>44651</v>
      </c>
      <c r="B158" t="str">
        <f t="shared" si="33"/>
        <v>1456</v>
      </c>
      <c r="C158" t="str">
        <f t="shared" si="34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D158" t="str">
        <f>"1"</f>
        <v>1</v>
      </c>
      <c r="E158" t="str">
        <f>"6"</f>
        <v>6</v>
      </c>
      <c r="F158" t="str">
        <f>"2"</f>
        <v>2</v>
      </c>
      <c r="G158" s="2">
        <v>0</v>
      </c>
    </row>
    <row r="159" spans="1:7" x14ac:dyDescent="0.25">
      <c r="A159" s="1">
        <v>44651</v>
      </c>
      <c r="B159" t="str">
        <f t="shared" si="33"/>
        <v>1456</v>
      </c>
      <c r="C159" t="str">
        <f t="shared" si="34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D159" t="str">
        <f>"2"</f>
        <v>2</v>
      </c>
      <c r="E159" t="str">
        <f>"3"</f>
        <v>3</v>
      </c>
      <c r="F159" t="str">
        <f>"2"</f>
        <v>2</v>
      </c>
      <c r="G159" s="2">
        <v>8920137.25</v>
      </c>
    </row>
    <row r="160" spans="1:7" x14ac:dyDescent="0.25">
      <c r="A160" s="1">
        <v>44651</v>
      </c>
      <c r="B160" t="str">
        <f t="shared" si="33"/>
        <v>1456</v>
      </c>
      <c r="C160" t="str">
        <f t="shared" si="34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D160" t="str">
        <f>"2"</f>
        <v>2</v>
      </c>
      <c r="E160" t="str">
        <f>"4"</f>
        <v>4</v>
      </c>
      <c r="F160" t="str">
        <f>"2"</f>
        <v>2</v>
      </c>
      <c r="G160" s="2">
        <v>27552854.309999999</v>
      </c>
    </row>
    <row r="161" spans="1:7" x14ac:dyDescent="0.25">
      <c r="A161" s="1">
        <v>44651</v>
      </c>
      <c r="B161" t="str">
        <f t="shared" si="33"/>
        <v>1456</v>
      </c>
      <c r="C161" t="str">
        <f t="shared" si="34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D161" t="str">
        <f>"2"</f>
        <v>2</v>
      </c>
      <c r="E161" t="str">
        <f>"5"</f>
        <v>5</v>
      </c>
      <c r="F161" t="str">
        <f>"2"</f>
        <v>2</v>
      </c>
      <c r="G161" s="2">
        <v>0</v>
      </c>
    </row>
    <row r="162" spans="1:7" x14ac:dyDescent="0.25">
      <c r="A162" s="1">
        <v>44651</v>
      </c>
      <c r="B162" t="str">
        <f t="shared" si="33"/>
        <v>1456</v>
      </c>
      <c r="C162" t="str">
        <f t="shared" si="34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D162" t="str">
        <f>"2"</f>
        <v>2</v>
      </c>
      <c r="E162" t="str">
        <f>"7"</f>
        <v>7</v>
      </c>
      <c r="F162" t="str">
        <f>"2"</f>
        <v>2</v>
      </c>
      <c r="G162" s="2">
        <v>0</v>
      </c>
    </row>
    <row r="163" spans="1:7" x14ac:dyDescent="0.25">
      <c r="A163" s="1">
        <v>44651</v>
      </c>
      <c r="B163" t="str">
        <f t="shared" ref="B163:B171" si="35">"1457"</f>
        <v>1457</v>
      </c>
      <c r="C163" t="str">
        <f t="shared" ref="C163:C171" si="36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163" t="str">
        <f>"1"</f>
        <v>1</v>
      </c>
      <c r="E163" t="str">
        <f>"1"</f>
        <v>1</v>
      </c>
      <c r="F163" t="str">
        <f>"1"</f>
        <v>1</v>
      </c>
      <c r="G163" s="2">
        <v>-15080537407.59</v>
      </c>
    </row>
    <row r="164" spans="1:7" x14ac:dyDescent="0.25">
      <c r="A164" s="1">
        <v>44651</v>
      </c>
      <c r="B164" t="str">
        <f t="shared" si="35"/>
        <v>1457</v>
      </c>
      <c r="C164" t="str">
        <f t="shared" si="3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164" t="str">
        <f>"1"</f>
        <v>1</v>
      </c>
      <c r="E164" t="str">
        <f>"1"</f>
        <v>1</v>
      </c>
      <c r="F164" t="str">
        <f>"2"</f>
        <v>2</v>
      </c>
      <c r="G164" s="2">
        <v>-2830282210.4299998</v>
      </c>
    </row>
    <row r="165" spans="1:7" x14ac:dyDescent="0.25">
      <c r="A165" s="1">
        <v>44651</v>
      </c>
      <c r="B165" t="str">
        <f t="shared" si="35"/>
        <v>1457</v>
      </c>
      <c r="C165" t="str">
        <f t="shared" si="3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165" t="str">
        <f>"1"</f>
        <v>1</v>
      </c>
      <c r="E165" t="str">
        <f>"4"</f>
        <v>4</v>
      </c>
      <c r="F165" t="str">
        <f>"2"</f>
        <v>2</v>
      </c>
      <c r="G165" s="2">
        <v>-199180492.75999999</v>
      </c>
    </row>
    <row r="166" spans="1:7" x14ac:dyDescent="0.25">
      <c r="A166" s="1">
        <v>44651</v>
      </c>
      <c r="B166" t="str">
        <f t="shared" si="35"/>
        <v>1457</v>
      </c>
      <c r="C166" t="str">
        <f t="shared" si="3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166" t="str">
        <f>"1"</f>
        <v>1</v>
      </c>
      <c r="E166" t="str">
        <f>"5"</f>
        <v>5</v>
      </c>
      <c r="F166" t="str">
        <f>"1"</f>
        <v>1</v>
      </c>
      <c r="G166" s="2">
        <v>-759484346.40999997</v>
      </c>
    </row>
    <row r="167" spans="1:7" x14ac:dyDescent="0.25">
      <c r="A167" s="1">
        <v>44651</v>
      </c>
      <c r="B167" t="str">
        <f t="shared" si="35"/>
        <v>1457</v>
      </c>
      <c r="C167" t="str">
        <f t="shared" si="3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167" t="str">
        <f>"1"</f>
        <v>1</v>
      </c>
      <c r="E167" t="str">
        <f>"6"</f>
        <v>6</v>
      </c>
      <c r="F167" t="str">
        <f>"2"</f>
        <v>2</v>
      </c>
      <c r="G167" s="2">
        <v>-560616492.42999995</v>
      </c>
    </row>
    <row r="168" spans="1:7" x14ac:dyDescent="0.25">
      <c r="A168" s="1">
        <v>44651</v>
      </c>
      <c r="B168" t="str">
        <f t="shared" si="35"/>
        <v>1457</v>
      </c>
      <c r="C168" t="str">
        <f t="shared" si="3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168" t="str">
        <f>"2"</f>
        <v>2</v>
      </c>
      <c r="E168" t="str">
        <f>"3"</f>
        <v>3</v>
      </c>
      <c r="F168" t="str">
        <f>"2"</f>
        <v>2</v>
      </c>
      <c r="G168" s="2">
        <v>-12144260.550000001</v>
      </c>
    </row>
    <row r="169" spans="1:7" x14ac:dyDescent="0.25">
      <c r="A169" s="1">
        <v>44651</v>
      </c>
      <c r="B169" t="str">
        <f t="shared" si="35"/>
        <v>1457</v>
      </c>
      <c r="C169" t="str">
        <f t="shared" si="3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169" t="str">
        <f>"2"</f>
        <v>2</v>
      </c>
      <c r="E169" t="str">
        <f>"4"</f>
        <v>4</v>
      </c>
      <c r="F169" t="str">
        <f>"2"</f>
        <v>2</v>
      </c>
      <c r="G169" s="2">
        <v>-57292940.329999998</v>
      </c>
    </row>
    <row r="170" spans="1:7" x14ac:dyDescent="0.25">
      <c r="A170" s="1">
        <v>44651</v>
      </c>
      <c r="B170" t="str">
        <f t="shared" si="35"/>
        <v>1457</v>
      </c>
      <c r="C170" t="str">
        <f t="shared" si="3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170" t="str">
        <f>"2"</f>
        <v>2</v>
      </c>
      <c r="E170" t="str">
        <f>"5"</f>
        <v>5</v>
      </c>
      <c r="F170" t="str">
        <f>"2"</f>
        <v>2</v>
      </c>
      <c r="G170" s="2">
        <v>-1645142337.5</v>
      </c>
    </row>
    <row r="171" spans="1:7" x14ac:dyDescent="0.25">
      <c r="A171" s="1">
        <v>44651</v>
      </c>
      <c r="B171" t="str">
        <f t="shared" si="35"/>
        <v>1457</v>
      </c>
      <c r="C171" t="str">
        <f t="shared" si="3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171" t="str">
        <f>"2"</f>
        <v>2</v>
      </c>
      <c r="E171" t="str">
        <f>"7"</f>
        <v>7</v>
      </c>
      <c r="F171" t="str">
        <f>"2"</f>
        <v>2</v>
      </c>
      <c r="G171" s="2">
        <v>-149531315.27000001</v>
      </c>
    </row>
    <row r="172" spans="1:7" x14ac:dyDescent="0.25">
      <c r="A172" s="1">
        <v>44651</v>
      </c>
      <c r="B172" t="str">
        <f>"1461"</f>
        <v>1461</v>
      </c>
      <c r="C172" t="str">
        <f>"Операции «обратное РЕПО» с ценными бумагами"</f>
        <v>Операции «обратное РЕПО» с ценными бумагами</v>
      </c>
      <c r="D172" t="str">
        <f t="shared" ref="D172:D183" si="37">"1"</f>
        <v>1</v>
      </c>
      <c r="E172" t="str">
        <f>"5"</f>
        <v>5</v>
      </c>
      <c r="F172" t="str">
        <f t="shared" ref="F172:F178" si="38">"1"</f>
        <v>1</v>
      </c>
      <c r="G172" s="2">
        <v>100848615648.7</v>
      </c>
    </row>
    <row r="173" spans="1:7" x14ac:dyDescent="0.25">
      <c r="A173" s="1">
        <v>44651</v>
      </c>
      <c r="B173" t="str">
        <f>"1463"</f>
        <v>1463</v>
      </c>
      <c r="C173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D173" t="str">
        <f t="shared" si="37"/>
        <v>1</v>
      </c>
      <c r="E173" t="str">
        <f>"5"</f>
        <v>5</v>
      </c>
      <c r="F173" t="str">
        <f t="shared" si="38"/>
        <v>1</v>
      </c>
      <c r="G173" s="2">
        <v>-59288.480000000003</v>
      </c>
    </row>
    <row r="174" spans="1:7" x14ac:dyDescent="0.25">
      <c r="A174" s="1">
        <v>44651</v>
      </c>
      <c r="B174" t="str">
        <f>"1471"</f>
        <v>1471</v>
      </c>
      <c r="C174" t="str">
        <f>"Инвестиции в дочерние организации"</f>
        <v>Инвестиции в дочерние организации</v>
      </c>
      <c r="D174" t="str">
        <f t="shared" si="37"/>
        <v>1</v>
      </c>
      <c r="E174" t="str">
        <f>"5"</f>
        <v>5</v>
      </c>
      <c r="F174" t="str">
        <f t="shared" si="38"/>
        <v>1</v>
      </c>
      <c r="G174" s="2">
        <v>6322109431.8000002</v>
      </c>
    </row>
    <row r="175" spans="1:7" x14ac:dyDescent="0.25">
      <c r="A175" s="1">
        <v>44651</v>
      </c>
      <c r="B175" t="str">
        <f>"1471"</f>
        <v>1471</v>
      </c>
      <c r="C175" t="str">
        <f>"Инвестиции в дочерние организации"</f>
        <v>Инвестиции в дочерние организации</v>
      </c>
      <c r="D175" t="str">
        <f t="shared" si="37"/>
        <v>1</v>
      </c>
      <c r="E175" t="str">
        <f>"7"</f>
        <v>7</v>
      </c>
      <c r="F175" t="str">
        <f t="shared" si="38"/>
        <v>1</v>
      </c>
      <c r="G175" s="2">
        <v>11681423100</v>
      </c>
    </row>
    <row r="176" spans="1:7" x14ac:dyDescent="0.25">
      <c r="A176" s="1">
        <v>44651</v>
      </c>
      <c r="B176" t="str">
        <f>"1476"</f>
        <v>1476</v>
      </c>
      <c r="C176" t="str">
        <f>"Прочие инвестиции"</f>
        <v>Прочие инвестиции</v>
      </c>
      <c r="D176" t="str">
        <f t="shared" si="37"/>
        <v>1</v>
      </c>
      <c r="E176" t="str">
        <f>"5"</f>
        <v>5</v>
      </c>
      <c r="F176" t="str">
        <f t="shared" si="38"/>
        <v>1</v>
      </c>
      <c r="G176" s="2">
        <v>45734861.420000002</v>
      </c>
    </row>
    <row r="177" spans="1:7" x14ac:dyDescent="0.25">
      <c r="A177" s="1">
        <v>44651</v>
      </c>
      <c r="B177" t="str">
        <f>"1476"</f>
        <v>1476</v>
      </c>
      <c r="C177" t="str">
        <f>"Прочие инвестиции"</f>
        <v>Прочие инвестиции</v>
      </c>
      <c r="D177" t="str">
        <f t="shared" si="37"/>
        <v>1</v>
      </c>
      <c r="E177" t="str">
        <f>"7"</f>
        <v>7</v>
      </c>
      <c r="F177" t="str">
        <f t="shared" si="38"/>
        <v>1</v>
      </c>
      <c r="G177" s="2">
        <v>1360112591</v>
      </c>
    </row>
    <row r="178" spans="1:7" x14ac:dyDescent="0.25">
      <c r="A178" s="1">
        <v>44651</v>
      </c>
      <c r="B178" t="str">
        <f>"1476"</f>
        <v>1476</v>
      </c>
      <c r="C178" t="str">
        <f>"Прочие инвестиции"</f>
        <v>Прочие инвестиции</v>
      </c>
      <c r="D178" t="str">
        <f t="shared" si="37"/>
        <v>1</v>
      </c>
      <c r="E178" t="str">
        <f>"8"</f>
        <v>8</v>
      </c>
      <c r="F178" t="str">
        <f t="shared" si="38"/>
        <v>1</v>
      </c>
      <c r="G178" s="2">
        <v>675000</v>
      </c>
    </row>
    <row r="179" spans="1:7" x14ac:dyDescent="0.25">
      <c r="A179" s="1">
        <v>44651</v>
      </c>
      <c r="B179" t="str">
        <f t="shared" ref="B179:B185" si="39">"1481"</f>
        <v>1481</v>
      </c>
      <c r="C179" t="str">
        <f t="shared" ref="C179:C185" si="40">"Ценные бумаги, учитываемые по амортизированной стоимости"</f>
        <v>Ценные бумаги, учитываемые по амортизированной стоимости</v>
      </c>
      <c r="D179" t="str">
        <f t="shared" si="37"/>
        <v>1</v>
      </c>
      <c r="E179" t="str">
        <f>"1"</f>
        <v>1</v>
      </c>
      <c r="F179" t="str">
        <f>"2"</f>
        <v>2</v>
      </c>
      <c r="G179" s="2">
        <v>28901893800</v>
      </c>
    </row>
    <row r="180" spans="1:7" x14ac:dyDescent="0.25">
      <c r="A180" s="1">
        <v>44651</v>
      </c>
      <c r="B180" t="str">
        <f t="shared" si="39"/>
        <v>1481</v>
      </c>
      <c r="C180" t="str">
        <f t="shared" si="40"/>
        <v>Ценные бумаги, учитываемые по амортизированной стоимости</v>
      </c>
      <c r="D180" t="str">
        <f t="shared" si="37"/>
        <v>1</v>
      </c>
      <c r="E180" t="str">
        <f>"4"</f>
        <v>4</v>
      </c>
      <c r="F180" t="str">
        <f>"2"</f>
        <v>2</v>
      </c>
      <c r="G180" s="2">
        <v>1730942720</v>
      </c>
    </row>
    <row r="181" spans="1:7" x14ac:dyDescent="0.25">
      <c r="A181" s="1">
        <v>44651</v>
      </c>
      <c r="B181" t="str">
        <f t="shared" si="39"/>
        <v>1481</v>
      </c>
      <c r="C181" t="str">
        <f t="shared" si="40"/>
        <v>Ценные бумаги, учитываемые по амортизированной стоимости</v>
      </c>
      <c r="D181" t="str">
        <f t="shared" si="37"/>
        <v>1</v>
      </c>
      <c r="E181" t="str">
        <f>"5"</f>
        <v>5</v>
      </c>
      <c r="F181" t="str">
        <f>"1"</f>
        <v>1</v>
      </c>
      <c r="G181" s="2">
        <v>4500000000</v>
      </c>
    </row>
    <row r="182" spans="1:7" x14ac:dyDescent="0.25">
      <c r="A182" s="1">
        <v>44651</v>
      </c>
      <c r="B182" t="str">
        <f t="shared" si="39"/>
        <v>1481</v>
      </c>
      <c r="C182" t="str">
        <f t="shared" si="40"/>
        <v>Ценные бумаги, учитываемые по амортизированной стоимости</v>
      </c>
      <c r="D182" t="str">
        <f t="shared" si="37"/>
        <v>1</v>
      </c>
      <c r="E182" t="str">
        <f>"6"</f>
        <v>6</v>
      </c>
      <c r="F182" t="str">
        <f>"1"</f>
        <v>1</v>
      </c>
      <c r="G182" s="2">
        <v>234000000000</v>
      </c>
    </row>
    <row r="183" spans="1:7" x14ac:dyDescent="0.25">
      <c r="A183" s="1">
        <v>44651</v>
      </c>
      <c r="B183" t="str">
        <f t="shared" si="39"/>
        <v>1481</v>
      </c>
      <c r="C183" t="str">
        <f t="shared" si="40"/>
        <v>Ценные бумаги, учитываемые по амортизированной стоимости</v>
      </c>
      <c r="D183" t="str">
        <f t="shared" si="37"/>
        <v>1</v>
      </c>
      <c r="E183" t="str">
        <f>"6"</f>
        <v>6</v>
      </c>
      <c r="F183" t="str">
        <f>"2"</f>
        <v>2</v>
      </c>
      <c r="G183" s="2">
        <v>21450260000</v>
      </c>
    </row>
    <row r="184" spans="1:7" x14ac:dyDescent="0.25">
      <c r="A184" s="1">
        <v>44651</v>
      </c>
      <c r="B184" t="str">
        <f t="shared" si="39"/>
        <v>1481</v>
      </c>
      <c r="C184" t="str">
        <f t="shared" si="40"/>
        <v>Ценные бумаги, учитываемые по амортизированной стоимости</v>
      </c>
      <c r="D184" t="str">
        <f>"2"</f>
        <v>2</v>
      </c>
      <c r="E184" t="str">
        <f>"1"</f>
        <v>1</v>
      </c>
      <c r="F184" t="str">
        <f>"2"</f>
        <v>2</v>
      </c>
      <c r="G184" s="2">
        <v>932620000</v>
      </c>
    </row>
    <row r="185" spans="1:7" x14ac:dyDescent="0.25">
      <c r="A185" s="1">
        <v>44651</v>
      </c>
      <c r="B185" t="str">
        <f t="shared" si="39"/>
        <v>1481</v>
      </c>
      <c r="C185" t="str">
        <f t="shared" si="40"/>
        <v>Ценные бумаги, учитываемые по амортизированной стоимости</v>
      </c>
      <c r="D185" t="str">
        <f>"2"</f>
        <v>2</v>
      </c>
      <c r="E185" t="str">
        <f>"4"</f>
        <v>4</v>
      </c>
      <c r="F185" t="str">
        <f>"2"</f>
        <v>2</v>
      </c>
      <c r="G185" s="2">
        <v>4663100000</v>
      </c>
    </row>
    <row r="186" spans="1:7" x14ac:dyDescent="0.25">
      <c r="A186" s="1">
        <v>44651</v>
      </c>
      <c r="B186" t="str">
        <f>"1482"</f>
        <v>1482</v>
      </c>
      <c r="C186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D186" t="str">
        <f>"1"</f>
        <v>1</v>
      </c>
      <c r="E186" t="str">
        <f>"1"</f>
        <v>1</v>
      </c>
      <c r="F186" t="str">
        <f>"2"</f>
        <v>2</v>
      </c>
      <c r="G186" s="2">
        <v>-43697201.310000002</v>
      </c>
    </row>
    <row r="187" spans="1:7" x14ac:dyDescent="0.25">
      <c r="A187" s="1">
        <v>44651</v>
      </c>
      <c r="B187" t="str">
        <f>"1482"</f>
        <v>1482</v>
      </c>
      <c r="C18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D187" t="str">
        <f t="shared" ref="D187:D192" si="41">"1"</f>
        <v>1</v>
      </c>
      <c r="E187" t="str">
        <f>"5"</f>
        <v>5</v>
      </c>
      <c r="F187" t="str">
        <f>"1"</f>
        <v>1</v>
      </c>
      <c r="G187" s="2">
        <v>-26118684.219999999</v>
      </c>
    </row>
    <row r="188" spans="1:7" x14ac:dyDescent="0.25">
      <c r="A188" s="1">
        <v>44651</v>
      </c>
      <c r="B188" t="str">
        <f>"1482"</f>
        <v>1482</v>
      </c>
      <c r="C18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D188" t="str">
        <f t="shared" si="41"/>
        <v>1</v>
      </c>
      <c r="E188" t="str">
        <f>"6"</f>
        <v>6</v>
      </c>
      <c r="F188" t="str">
        <f>"2"</f>
        <v>2</v>
      </c>
      <c r="G188" s="2">
        <v>-153151060.63999999</v>
      </c>
    </row>
    <row r="189" spans="1:7" x14ac:dyDescent="0.25">
      <c r="A189" s="1">
        <v>44651</v>
      </c>
      <c r="B189" t="str">
        <f t="shared" ref="B189:B194" si="42">"1483"</f>
        <v>1483</v>
      </c>
      <c r="C189" t="str">
        <f t="shared" ref="C189:C194" si="43"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D189" t="str">
        <f t="shared" si="41"/>
        <v>1</v>
      </c>
      <c r="E189" t="str">
        <f>"1"</f>
        <v>1</v>
      </c>
      <c r="F189" t="str">
        <f>"2"</f>
        <v>2</v>
      </c>
      <c r="G189" s="2">
        <v>1213147087.8299999</v>
      </c>
    </row>
    <row r="190" spans="1:7" x14ac:dyDescent="0.25">
      <c r="A190" s="1">
        <v>44651</v>
      </c>
      <c r="B190" t="str">
        <f t="shared" si="42"/>
        <v>1483</v>
      </c>
      <c r="C190" t="str">
        <f t="shared" si="43"/>
        <v>Премия по ценным бумагам, учитываемым по амортизированной стоимости</v>
      </c>
      <c r="D190" t="str">
        <f t="shared" si="41"/>
        <v>1</v>
      </c>
      <c r="E190" t="str">
        <f>"4"</f>
        <v>4</v>
      </c>
      <c r="F190" t="str">
        <f>"2"</f>
        <v>2</v>
      </c>
      <c r="G190" s="2">
        <v>29283237.449999999</v>
      </c>
    </row>
    <row r="191" spans="1:7" x14ac:dyDescent="0.25">
      <c r="A191" s="1">
        <v>44651</v>
      </c>
      <c r="B191" t="str">
        <f t="shared" si="42"/>
        <v>1483</v>
      </c>
      <c r="C191" t="str">
        <f t="shared" si="43"/>
        <v>Премия по ценным бумагам, учитываемым по амортизированной стоимости</v>
      </c>
      <c r="D191" t="str">
        <f t="shared" si="41"/>
        <v>1</v>
      </c>
      <c r="E191" t="str">
        <f>"6"</f>
        <v>6</v>
      </c>
      <c r="F191" t="str">
        <f>"1"</f>
        <v>1</v>
      </c>
      <c r="G191" s="2">
        <v>4662235132.7399998</v>
      </c>
    </row>
    <row r="192" spans="1:7" x14ac:dyDescent="0.25">
      <c r="A192" s="1">
        <v>44651</v>
      </c>
      <c r="B192" t="str">
        <f t="shared" si="42"/>
        <v>1483</v>
      </c>
      <c r="C192" t="str">
        <f t="shared" si="43"/>
        <v>Премия по ценным бумагам, учитываемым по амортизированной стоимости</v>
      </c>
      <c r="D192" t="str">
        <f t="shared" si="41"/>
        <v>1</v>
      </c>
      <c r="E192" t="str">
        <f>"6"</f>
        <v>6</v>
      </c>
      <c r="F192" t="str">
        <f>"2"</f>
        <v>2</v>
      </c>
      <c r="G192" s="2">
        <v>9737769.8699999992</v>
      </c>
    </row>
    <row r="193" spans="1:7" x14ac:dyDescent="0.25">
      <c r="A193" s="1">
        <v>44651</v>
      </c>
      <c r="B193" t="str">
        <f t="shared" si="42"/>
        <v>1483</v>
      </c>
      <c r="C193" t="str">
        <f t="shared" si="43"/>
        <v>Премия по ценным бумагам, учитываемым по амортизированной стоимости</v>
      </c>
      <c r="D193" t="str">
        <f>"2"</f>
        <v>2</v>
      </c>
      <c r="E193" t="str">
        <f>"1"</f>
        <v>1</v>
      </c>
      <c r="F193" t="str">
        <f>"2"</f>
        <v>2</v>
      </c>
      <c r="G193" s="2">
        <v>4302600.4000000004</v>
      </c>
    </row>
    <row r="194" spans="1:7" x14ac:dyDescent="0.25">
      <c r="A194" s="1">
        <v>44651</v>
      </c>
      <c r="B194" t="str">
        <f t="shared" si="42"/>
        <v>1483</v>
      </c>
      <c r="C194" t="str">
        <f t="shared" si="43"/>
        <v>Премия по ценным бумагам, учитываемым по амортизированной стоимости</v>
      </c>
      <c r="D194" t="str">
        <f>"2"</f>
        <v>2</v>
      </c>
      <c r="E194" t="str">
        <f>"4"</f>
        <v>4</v>
      </c>
      <c r="F194" t="str">
        <f>"2"</f>
        <v>2</v>
      </c>
      <c r="G194" s="2">
        <v>32352620.440000001</v>
      </c>
    </row>
    <row r="195" spans="1:7" x14ac:dyDescent="0.25">
      <c r="A195" s="1">
        <v>44651</v>
      </c>
      <c r="B195" t="str">
        <f t="shared" ref="B195:B201" si="44">"1486"</f>
        <v>1486</v>
      </c>
      <c r="C195" t="str">
        <f t="shared" ref="C195:C201" si="45"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D195" t="str">
        <f>"1"</f>
        <v>1</v>
      </c>
      <c r="E195" t="str">
        <f>"1"</f>
        <v>1</v>
      </c>
      <c r="F195" t="str">
        <f>"2"</f>
        <v>2</v>
      </c>
      <c r="G195" s="2">
        <v>-33365483.059999999</v>
      </c>
    </row>
    <row r="196" spans="1:7" x14ac:dyDescent="0.25">
      <c r="A196" s="1">
        <v>44651</v>
      </c>
      <c r="B196" t="str">
        <f t="shared" si="44"/>
        <v>1486</v>
      </c>
      <c r="C196" t="str">
        <f t="shared" si="45"/>
        <v>Резервы (провизии) по ценным бумагам, учитываемым по амортизированной стоимости</v>
      </c>
      <c r="D196" t="str">
        <f>"1"</f>
        <v>1</v>
      </c>
      <c r="E196" t="str">
        <f>"4"</f>
        <v>4</v>
      </c>
      <c r="F196" t="str">
        <f>"2"</f>
        <v>2</v>
      </c>
      <c r="G196" s="2">
        <v>-1822330.16</v>
      </c>
    </row>
    <row r="197" spans="1:7" x14ac:dyDescent="0.25">
      <c r="A197" s="1">
        <v>44651</v>
      </c>
      <c r="B197" t="str">
        <f t="shared" si="44"/>
        <v>1486</v>
      </c>
      <c r="C197" t="str">
        <f t="shared" si="45"/>
        <v>Резервы (провизии) по ценным бумагам, учитываемым по амортизированной стоимости</v>
      </c>
      <c r="D197" t="str">
        <f>"1"</f>
        <v>1</v>
      </c>
      <c r="E197" t="str">
        <f>"5"</f>
        <v>5</v>
      </c>
      <c r="F197" t="str">
        <f>"1"</f>
        <v>1</v>
      </c>
      <c r="G197" s="2">
        <v>-1901277.46</v>
      </c>
    </row>
    <row r="198" spans="1:7" x14ac:dyDescent="0.25">
      <c r="A198" s="1">
        <v>44651</v>
      </c>
      <c r="B198" t="str">
        <f t="shared" si="44"/>
        <v>1486</v>
      </c>
      <c r="C198" t="str">
        <f t="shared" si="45"/>
        <v>Резервы (провизии) по ценным бумагам, учитываемым по амортизированной стоимости</v>
      </c>
      <c r="D198" t="str">
        <f>"1"</f>
        <v>1</v>
      </c>
      <c r="E198" t="str">
        <f>"6"</f>
        <v>6</v>
      </c>
      <c r="F198" t="str">
        <f>"1"</f>
        <v>1</v>
      </c>
      <c r="G198" s="2">
        <v>-53043431.460000001</v>
      </c>
    </row>
    <row r="199" spans="1:7" x14ac:dyDescent="0.25">
      <c r="A199" s="1">
        <v>44651</v>
      </c>
      <c r="B199" t="str">
        <f t="shared" si="44"/>
        <v>1486</v>
      </c>
      <c r="C199" t="str">
        <f t="shared" si="45"/>
        <v>Резервы (провизии) по ценным бумагам, учитываемым по амортизированной стоимости</v>
      </c>
      <c r="D199" t="str">
        <f>"1"</f>
        <v>1</v>
      </c>
      <c r="E199" t="str">
        <f>"6"</f>
        <v>6</v>
      </c>
      <c r="F199" t="str">
        <f>"2"</f>
        <v>2</v>
      </c>
      <c r="G199" s="2">
        <v>-54351885.859999999</v>
      </c>
    </row>
    <row r="200" spans="1:7" x14ac:dyDescent="0.25">
      <c r="A200" s="1">
        <v>44651</v>
      </c>
      <c r="B200" t="str">
        <f t="shared" si="44"/>
        <v>1486</v>
      </c>
      <c r="C200" t="str">
        <f t="shared" si="45"/>
        <v>Резервы (провизии) по ценным бумагам, учитываемым по амортизированной стоимости</v>
      </c>
      <c r="D200" t="str">
        <f>"2"</f>
        <v>2</v>
      </c>
      <c r="E200" t="str">
        <f>"1"</f>
        <v>1</v>
      </c>
      <c r="F200" t="str">
        <f>"2"</f>
        <v>2</v>
      </c>
      <c r="G200" s="2">
        <v>-47116158.25</v>
      </c>
    </row>
    <row r="201" spans="1:7" x14ac:dyDescent="0.25">
      <c r="A201" s="1">
        <v>44651</v>
      </c>
      <c r="B201" t="str">
        <f t="shared" si="44"/>
        <v>1486</v>
      </c>
      <c r="C201" t="str">
        <f t="shared" si="45"/>
        <v>Резервы (провизии) по ценным бумагам, учитываемым по амортизированной стоимости</v>
      </c>
      <c r="D201" t="str">
        <f>"2"</f>
        <v>2</v>
      </c>
      <c r="E201" t="str">
        <f>"4"</f>
        <v>4</v>
      </c>
      <c r="F201" t="str">
        <f>"2"</f>
        <v>2</v>
      </c>
      <c r="G201" s="2">
        <v>-90267641.629999995</v>
      </c>
    </row>
    <row r="202" spans="1:7" x14ac:dyDescent="0.25">
      <c r="A202" s="1">
        <v>44651</v>
      </c>
      <c r="B202" t="str">
        <f>"1602"</f>
        <v>1602</v>
      </c>
      <c r="C202" t="str">
        <f>"Прочие запасы"</f>
        <v>Прочие запасы</v>
      </c>
      <c r="D202" t="str">
        <f>""</f>
        <v/>
      </c>
      <c r="E202" t="str">
        <f>""</f>
        <v/>
      </c>
      <c r="F202" t="str">
        <f>""</f>
        <v/>
      </c>
      <c r="G202" s="2">
        <v>21256828515.07</v>
      </c>
    </row>
    <row r="203" spans="1:7" x14ac:dyDescent="0.25">
      <c r="A203" s="1">
        <v>44651</v>
      </c>
      <c r="B203" t="str">
        <f>"1610"</f>
        <v>1610</v>
      </c>
      <c r="C203" t="str">
        <f>"Долгосрочные активы, предназначенные для продажи"</f>
        <v>Долгосрочные активы, предназначенные для продажи</v>
      </c>
      <c r="D203" t="str">
        <f>""</f>
        <v/>
      </c>
      <c r="E203" t="str">
        <f>""</f>
        <v/>
      </c>
      <c r="F203" t="str">
        <f>""</f>
        <v/>
      </c>
      <c r="G203" s="2">
        <v>22410185539.360001</v>
      </c>
    </row>
    <row r="204" spans="1:7" x14ac:dyDescent="0.25">
      <c r="A204" s="1">
        <v>44651</v>
      </c>
      <c r="B204" t="str">
        <f>"1651"</f>
        <v>1651</v>
      </c>
      <c r="C204" t="str">
        <f>"Строящиеся (устанавливаемые) основные средства"</f>
        <v>Строящиеся (устанавливаемые) основные средства</v>
      </c>
      <c r="D204" t="str">
        <f>""</f>
        <v/>
      </c>
      <c r="E204" t="str">
        <f>""</f>
        <v/>
      </c>
      <c r="F204" t="str">
        <f>""</f>
        <v/>
      </c>
      <c r="G204" s="2">
        <v>3434490</v>
      </c>
    </row>
    <row r="205" spans="1:7" x14ac:dyDescent="0.25">
      <c r="A205" s="1">
        <v>44651</v>
      </c>
      <c r="B205" t="str">
        <f>"1652"</f>
        <v>1652</v>
      </c>
      <c r="C205" t="str">
        <f>"Земля, здания и сооружения"</f>
        <v>Земля, здания и сооружения</v>
      </c>
      <c r="D205" t="str">
        <f>""</f>
        <v/>
      </c>
      <c r="E205" t="str">
        <f>""</f>
        <v/>
      </c>
      <c r="F205" t="str">
        <f>""</f>
        <v/>
      </c>
      <c r="G205" s="2">
        <v>47000443682.349998</v>
      </c>
    </row>
    <row r="206" spans="1:7" x14ac:dyDescent="0.25">
      <c r="A206" s="1">
        <v>44651</v>
      </c>
      <c r="B206" t="str">
        <f>"1653"</f>
        <v>1653</v>
      </c>
      <c r="C206" t="str">
        <f>"Компьютерное оборудование"</f>
        <v>Компьютерное оборудование</v>
      </c>
      <c r="D206" t="str">
        <f>""</f>
        <v/>
      </c>
      <c r="E206" t="str">
        <f>""</f>
        <v/>
      </c>
      <c r="F206" t="str">
        <f>""</f>
        <v/>
      </c>
      <c r="G206" s="2">
        <v>5502547931.71</v>
      </c>
    </row>
    <row r="207" spans="1:7" x14ac:dyDescent="0.25">
      <c r="A207" s="1">
        <v>44651</v>
      </c>
      <c r="B207" t="str">
        <f>"1654"</f>
        <v>1654</v>
      </c>
      <c r="C207" t="str">
        <f>"Прочие основные средства"</f>
        <v>Прочие основные средства</v>
      </c>
      <c r="D207" t="str">
        <f>""</f>
        <v/>
      </c>
      <c r="E207" t="str">
        <f>""</f>
        <v/>
      </c>
      <c r="F207" t="str">
        <f>""</f>
        <v/>
      </c>
      <c r="G207" s="2">
        <v>29463201395.779999</v>
      </c>
    </row>
    <row r="208" spans="1:7" x14ac:dyDescent="0.25">
      <c r="A208" s="1">
        <v>44651</v>
      </c>
      <c r="B208" t="str">
        <f>"1655"</f>
        <v>1655</v>
      </c>
      <c r="C208" t="str">
        <f>"Активы в форме права пользования"</f>
        <v>Активы в форме права пользования</v>
      </c>
      <c r="D208" t="str">
        <f>""</f>
        <v/>
      </c>
      <c r="E208" t="str">
        <f>""</f>
        <v/>
      </c>
      <c r="F208" t="str">
        <f>""</f>
        <v/>
      </c>
      <c r="G208" s="2">
        <v>2923506327</v>
      </c>
    </row>
    <row r="209" spans="1:7" x14ac:dyDescent="0.25">
      <c r="A209" s="1">
        <v>44651</v>
      </c>
      <c r="B209" t="str">
        <f>"1657"</f>
        <v>1657</v>
      </c>
      <c r="C209" t="str">
        <f>"Капитальные затраты по активам в форме права пользования"</f>
        <v>Капитальные затраты по активам в форме права пользования</v>
      </c>
      <c r="D209" t="str">
        <f>""</f>
        <v/>
      </c>
      <c r="E209" t="str">
        <f>""</f>
        <v/>
      </c>
      <c r="F209" t="str">
        <f>""</f>
        <v/>
      </c>
      <c r="G209" s="2">
        <v>1834798000.99</v>
      </c>
    </row>
    <row r="210" spans="1:7" x14ac:dyDescent="0.25">
      <c r="A210" s="1">
        <v>44651</v>
      </c>
      <c r="B210" t="str">
        <f>"1658"</f>
        <v>1658</v>
      </c>
      <c r="C210" t="str">
        <f>"Транспортные средства"</f>
        <v>Транспортные средства</v>
      </c>
      <c r="D210" t="str">
        <f>""</f>
        <v/>
      </c>
      <c r="E210" t="str">
        <f>""</f>
        <v/>
      </c>
      <c r="F210" t="str">
        <f>""</f>
        <v/>
      </c>
      <c r="G210" s="2">
        <v>480354101.63999999</v>
      </c>
    </row>
    <row r="211" spans="1:7" x14ac:dyDescent="0.25">
      <c r="A211" s="1">
        <v>44651</v>
      </c>
      <c r="B211" t="str">
        <f>"1659"</f>
        <v>1659</v>
      </c>
      <c r="C211" t="str">
        <f>"Нематериальные активы"</f>
        <v>Нематериальные активы</v>
      </c>
      <c r="D211" t="str">
        <f>""</f>
        <v/>
      </c>
      <c r="E211" t="str">
        <f>""</f>
        <v/>
      </c>
      <c r="F211" t="str">
        <f>""</f>
        <v/>
      </c>
      <c r="G211" s="2">
        <v>22556696262.52</v>
      </c>
    </row>
    <row r="212" spans="1:7" x14ac:dyDescent="0.25">
      <c r="A212" s="1">
        <v>44651</v>
      </c>
      <c r="B212" t="str">
        <f>"1660"</f>
        <v>1660</v>
      </c>
      <c r="C212" t="str">
        <f>"Создаваемые (разрабатываемые) нематериальные активы"</f>
        <v>Создаваемые (разрабатываемые) нематериальные активы</v>
      </c>
      <c r="D212" t="str">
        <f>""</f>
        <v/>
      </c>
      <c r="E212" t="str">
        <f>""</f>
        <v/>
      </c>
      <c r="F212" t="str">
        <f>""</f>
        <v/>
      </c>
      <c r="G212" s="2">
        <v>7208000</v>
      </c>
    </row>
    <row r="213" spans="1:7" x14ac:dyDescent="0.25">
      <c r="A213" s="1">
        <v>44651</v>
      </c>
      <c r="B213" t="str">
        <f>"1692"</f>
        <v>1692</v>
      </c>
      <c r="C213" t="str">
        <f>"Начисленная амортизация по зданиям и сооружениям"</f>
        <v>Начисленная амортизация по зданиям и сооружениям</v>
      </c>
      <c r="D213" t="str">
        <f>""</f>
        <v/>
      </c>
      <c r="E213" t="str">
        <f>""</f>
        <v/>
      </c>
      <c r="F213" t="str">
        <f>""</f>
        <v/>
      </c>
      <c r="G213" s="2">
        <v>-5466764305.5900002</v>
      </c>
    </row>
    <row r="214" spans="1:7" x14ac:dyDescent="0.25">
      <c r="A214" s="1">
        <v>44651</v>
      </c>
      <c r="B214" t="str">
        <f>"1693"</f>
        <v>1693</v>
      </c>
      <c r="C214" t="str">
        <f>"Начисленная амортизация по компьютерному оборудованию"</f>
        <v>Начисленная амортизация по компьютерному оборудованию</v>
      </c>
      <c r="D214" t="str">
        <f>""</f>
        <v/>
      </c>
      <c r="E214" t="str">
        <f>""</f>
        <v/>
      </c>
      <c r="F214" t="str">
        <f>""</f>
        <v/>
      </c>
      <c r="G214" s="2">
        <v>-3197258170.27</v>
      </c>
    </row>
    <row r="215" spans="1:7" x14ac:dyDescent="0.25">
      <c r="A215" s="1">
        <v>44651</v>
      </c>
      <c r="B215" t="str">
        <f>"1694"</f>
        <v>1694</v>
      </c>
      <c r="C215" t="str">
        <f>"Начисленная амортизация по прочим основным средствам"</f>
        <v>Начисленная амортизация по прочим основным средствам</v>
      </c>
      <c r="D215" t="str">
        <f>""</f>
        <v/>
      </c>
      <c r="E215" t="str">
        <f>""</f>
        <v/>
      </c>
      <c r="F215" t="str">
        <f>""</f>
        <v/>
      </c>
      <c r="G215" s="2">
        <v>-15639226271.4</v>
      </c>
    </row>
    <row r="216" spans="1:7" x14ac:dyDescent="0.25">
      <c r="A216" s="1">
        <v>44651</v>
      </c>
      <c r="B216" t="str">
        <f>"1695"</f>
        <v>1695</v>
      </c>
      <c r="C216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D216" t="str">
        <f>""</f>
        <v/>
      </c>
      <c r="E216" t="str">
        <f>""</f>
        <v/>
      </c>
      <c r="F216" t="str">
        <f>""</f>
        <v/>
      </c>
      <c r="G216" s="2">
        <v>-1017351920.9400001</v>
      </c>
    </row>
    <row r="217" spans="1:7" x14ac:dyDescent="0.25">
      <c r="A217" s="1">
        <v>44651</v>
      </c>
      <c r="B217" t="str">
        <f>"1697"</f>
        <v>1697</v>
      </c>
      <c r="C217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D217" t="str">
        <f>""</f>
        <v/>
      </c>
      <c r="E217" t="str">
        <f>""</f>
        <v/>
      </c>
      <c r="F217" t="str">
        <f>""</f>
        <v/>
      </c>
      <c r="G217" s="2">
        <v>-810333445.49000001</v>
      </c>
    </row>
    <row r="218" spans="1:7" x14ac:dyDescent="0.25">
      <c r="A218" s="1">
        <v>44651</v>
      </c>
      <c r="B218" t="str">
        <f>"1698"</f>
        <v>1698</v>
      </c>
      <c r="C218" t="str">
        <f>"Начисленная амортизация по транспортным средствам"</f>
        <v>Начисленная амортизация по транспортным средствам</v>
      </c>
      <c r="D218" t="str">
        <f>""</f>
        <v/>
      </c>
      <c r="E218" t="str">
        <f>""</f>
        <v/>
      </c>
      <c r="F218" t="str">
        <f>""</f>
        <v/>
      </c>
      <c r="G218" s="2">
        <v>-383480445.14999998</v>
      </c>
    </row>
    <row r="219" spans="1:7" x14ac:dyDescent="0.25">
      <c r="A219" s="1">
        <v>44651</v>
      </c>
      <c r="B219" t="str">
        <f>"1699"</f>
        <v>1699</v>
      </c>
      <c r="C219" t="str">
        <f>"Начисленная амортизация по нематериальным активам"</f>
        <v>Начисленная амортизация по нематериальным активам</v>
      </c>
      <c r="D219" t="str">
        <f>""</f>
        <v/>
      </c>
      <c r="E219" t="str">
        <f>""</f>
        <v/>
      </c>
      <c r="F219" t="str">
        <f>""</f>
        <v/>
      </c>
      <c r="G219" s="2">
        <v>-9408850726.8799992</v>
      </c>
    </row>
    <row r="220" spans="1:7" x14ac:dyDescent="0.25">
      <c r="A220" s="1">
        <v>44651</v>
      </c>
      <c r="B220" t="str">
        <f>"1710"</f>
        <v>1710</v>
      </c>
      <c r="C220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D220" t="str">
        <f>"1"</f>
        <v>1</v>
      </c>
      <c r="E220" t="str">
        <f>"3"</f>
        <v>3</v>
      </c>
      <c r="F220" t="str">
        <f>"1"</f>
        <v>1</v>
      </c>
      <c r="G220" s="2">
        <v>6597222.2199999997</v>
      </c>
    </row>
    <row r="221" spans="1:7" x14ac:dyDescent="0.25">
      <c r="A221" s="1">
        <v>44651</v>
      </c>
      <c r="B221" t="str">
        <f>"1710"</f>
        <v>1710</v>
      </c>
      <c r="C22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D221" t="str">
        <f>"1"</f>
        <v>1</v>
      </c>
      <c r="E221" t="str">
        <f>"3"</f>
        <v>3</v>
      </c>
      <c r="F221" t="str">
        <f>"2"</f>
        <v>2</v>
      </c>
      <c r="G221" s="2">
        <v>28393098.300000001</v>
      </c>
    </row>
    <row r="222" spans="1:7" x14ac:dyDescent="0.25">
      <c r="A222" s="1">
        <v>44651</v>
      </c>
      <c r="B222" t="str">
        <f>"1725"</f>
        <v>1725</v>
      </c>
      <c r="C222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D222" t="str">
        <f>"2"</f>
        <v>2</v>
      </c>
      <c r="E222" t="str">
        <f>"4"</f>
        <v>4</v>
      </c>
      <c r="F222" t="str">
        <f>"3"</f>
        <v>3</v>
      </c>
      <c r="G222" s="2">
        <v>2740684.94</v>
      </c>
    </row>
    <row r="223" spans="1:7" x14ac:dyDescent="0.25">
      <c r="A223" s="1">
        <v>44651</v>
      </c>
      <c r="B223" t="str">
        <f t="shared" ref="B223:B231" si="46">"1740"</f>
        <v>1740</v>
      </c>
      <c r="C223" t="str">
        <f t="shared" ref="C223:C231" si="47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D223" t="str">
        <f t="shared" ref="D223:D230" si="48">"1"</f>
        <v>1</v>
      </c>
      <c r="E223" t="str">
        <f>"5"</f>
        <v>5</v>
      </c>
      <c r="F223" t="str">
        <f>"1"</f>
        <v>1</v>
      </c>
      <c r="G223" s="2">
        <v>108723599.94</v>
      </c>
    </row>
    <row r="224" spans="1:7" x14ac:dyDescent="0.25">
      <c r="A224" s="1">
        <v>44651</v>
      </c>
      <c r="B224" t="str">
        <f t="shared" si="46"/>
        <v>1740</v>
      </c>
      <c r="C224" t="str">
        <f t="shared" si="47"/>
        <v>Начисленные доходы по займам и финансовому лизингу, предоставленным клиентам</v>
      </c>
      <c r="D224" t="str">
        <f t="shared" si="48"/>
        <v>1</v>
      </c>
      <c r="E224" t="str">
        <f>"5"</f>
        <v>5</v>
      </c>
      <c r="F224" t="str">
        <f>"2"</f>
        <v>2</v>
      </c>
      <c r="G224" s="2">
        <v>15598792.289999999</v>
      </c>
    </row>
    <row r="225" spans="1:7" x14ac:dyDescent="0.25">
      <c r="A225" s="1">
        <v>44651</v>
      </c>
      <c r="B225" t="str">
        <f t="shared" si="46"/>
        <v>1740</v>
      </c>
      <c r="C225" t="str">
        <f t="shared" si="47"/>
        <v>Начисленные доходы по займам и финансовому лизингу, предоставленным клиентам</v>
      </c>
      <c r="D225" t="str">
        <f t="shared" si="48"/>
        <v>1</v>
      </c>
      <c r="E225" t="str">
        <f>"6"</f>
        <v>6</v>
      </c>
      <c r="F225" t="str">
        <f>"1"</f>
        <v>1</v>
      </c>
      <c r="G225" s="2">
        <v>2079771.37</v>
      </c>
    </row>
    <row r="226" spans="1:7" x14ac:dyDescent="0.25">
      <c r="A226" s="1">
        <v>44651</v>
      </c>
      <c r="B226" t="str">
        <f t="shared" si="46"/>
        <v>1740</v>
      </c>
      <c r="C226" t="str">
        <f t="shared" si="47"/>
        <v>Начисленные доходы по займам и финансовому лизингу, предоставленным клиентам</v>
      </c>
      <c r="D226" t="str">
        <f t="shared" si="48"/>
        <v>1</v>
      </c>
      <c r="E226" t="str">
        <f>"7"</f>
        <v>7</v>
      </c>
      <c r="F226" t="str">
        <f>"1"</f>
        <v>1</v>
      </c>
      <c r="G226" s="2">
        <v>2423979944.5300002</v>
      </c>
    </row>
    <row r="227" spans="1:7" x14ac:dyDescent="0.25">
      <c r="A227" s="1">
        <v>44651</v>
      </c>
      <c r="B227" t="str">
        <f t="shared" si="46"/>
        <v>1740</v>
      </c>
      <c r="C227" t="str">
        <f t="shared" si="47"/>
        <v>Начисленные доходы по займам и финансовому лизингу, предоставленным клиентам</v>
      </c>
      <c r="D227" t="str">
        <f t="shared" si="48"/>
        <v>1</v>
      </c>
      <c r="E227" t="str">
        <f>"7"</f>
        <v>7</v>
      </c>
      <c r="F227" t="str">
        <f>"2"</f>
        <v>2</v>
      </c>
      <c r="G227" s="2">
        <v>780987459.25</v>
      </c>
    </row>
    <row r="228" spans="1:7" x14ac:dyDescent="0.25">
      <c r="A228" s="1">
        <v>44651</v>
      </c>
      <c r="B228" t="str">
        <f t="shared" si="46"/>
        <v>1740</v>
      </c>
      <c r="C228" t="str">
        <f t="shared" si="47"/>
        <v>Начисленные доходы по займам и финансовому лизингу, предоставленным клиентам</v>
      </c>
      <c r="D228" t="str">
        <f t="shared" si="48"/>
        <v>1</v>
      </c>
      <c r="E228" t="str">
        <f>"8"</f>
        <v>8</v>
      </c>
      <c r="F228" t="str">
        <f>"1"</f>
        <v>1</v>
      </c>
      <c r="G228" s="2">
        <v>191469.13</v>
      </c>
    </row>
    <row r="229" spans="1:7" x14ac:dyDescent="0.25">
      <c r="A229" s="1">
        <v>44651</v>
      </c>
      <c r="B229" t="str">
        <f t="shared" si="46"/>
        <v>1740</v>
      </c>
      <c r="C229" t="str">
        <f t="shared" si="47"/>
        <v>Начисленные доходы по займам и финансовому лизингу, предоставленным клиентам</v>
      </c>
      <c r="D229" t="str">
        <f t="shared" si="48"/>
        <v>1</v>
      </c>
      <c r="E229" t="str">
        <f>"9"</f>
        <v>9</v>
      </c>
      <c r="F229" t="str">
        <f>"1"</f>
        <v>1</v>
      </c>
      <c r="G229" s="2">
        <v>7734830682.0100002</v>
      </c>
    </row>
    <row r="230" spans="1:7" x14ac:dyDescent="0.25">
      <c r="A230" s="1">
        <v>44651</v>
      </c>
      <c r="B230" t="str">
        <f t="shared" si="46"/>
        <v>1740</v>
      </c>
      <c r="C230" t="str">
        <f t="shared" si="47"/>
        <v>Начисленные доходы по займам и финансовому лизингу, предоставленным клиентам</v>
      </c>
      <c r="D230" t="str">
        <f t="shared" si="48"/>
        <v>1</v>
      </c>
      <c r="E230" t="str">
        <f>"9"</f>
        <v>9</v>
      </c>
      <c r="F230" t="str">
        <f>"2"</f>
        <v>2</v>
      </c>
      <c r="G230" s="2">
        <v>39609532.600000001</v>
      </c>
    </row>
    <row r="231" spans="1:7" x14ac:dyDescent="0.25">
      <c r="A231" s="1">
        <v>44651</v>
      </c>
      <c r="B231" t="str">
        <f t="shared" si="46"/>
        <v>1740</v>
      </c>
      <c r="C231" t="str">
        <f t="shared" si="47"/>
        <v>Начисленные доходы по займам и финансовому лизингу, предоставленным клиентам</v>
      </c>
      <c r="D231" t="str">
        <f>"2"</f>
        <v>2</v>
      </c>
      <c r="E231" t="str">
        <f>"9"</f>
        <v>9</v>
      </c>
      <c r="F231" t="str">
        <f>"1"</f>
        <v>1</v>
      </c>
      <c r="G231" s="2">
        <v>717006.84</v>
      </c>
    </row>
    <row r="232" spans="1:7" x14ac:dyDescent="0.25">
      <c r="A232" s="1">
        <v>44651</v>
      </c>
      <c r="B232" t="str">
        <f t="shared" ref="B232:B239" si="49">"1741"</f>
        <v>1741</v>
      </c>
      <c r="C232" t="str">
        <f t="shared" ref="C232:C239" si="50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D232" t="str">
        <f t="shared" ref="D232:D237" si="51">"1"</f>
        <v>1</v>
      </c>
      <c r="E232" t="str">
        <f>"5"</f>
        <v>5</v>
      </c>
      <c r="F232" t="str">
        <f>"1"</f>
        <v>1</v>
      </c>
      <c r="G232" s="2">
        <v>57450499.090000004</v>
      </c>
    </row>
    <row r="233" spans="1:7" x14ac:dyDescent="0.25">
      <c r="A233" s="1">
        <v>44651</v>
      </c>
      <c r="B233" t="str">
        <f t="shared" si="49"/>
        <v>1741</v>
      </c>
      <c r="C233" t="str">
        <f t="shared" si="50"/>
        <v>Просроченное вознаграждение по займам и финансовому лизингу, предоставленным клиентам</v>
      </c>
      <c r="D233" t="str">
        <f t="shared" si="51"/>
        <v>1</v>
      </c>
      <c r="E233" t="str">
        <f>"7"</f>
        <v>7</v>
      </c>
      <c r="F233" t="str">
        <f>"1"</f>
        <v>1</v>
      </c>
      <c r="G233" s="2">
        <v>1600281770.29</v>
      </c>
    </row>
    <row r="234" spans="1:7" x14ac:dyDescent="0.25">
      <c r="A234" s="1">
        <v>44651</v>
      </c>
      <c r="B234" t="str">
        <f t="shared" si="49"/>
        <v>1741</v>
      </c>
      <c r="C234" t="str">
        <f t="shared" si="50"/>
        <v>Просроченное вознаграждение по займам и финансовому лизингу, предоставленным клиентам</v>
      </c>
      <c r="D234" t="str">
        <f t="shared" si="51"/>
        <v>1</v>
      </c>
      <c r="E234" t="str">
        <f>"7"</f>
        <v>7</v>
      </c>
      <c r="F234" t="str">
        <f>"2"</f>
        <v>2</v>
      </c>
      <c r="G234" s="2">
        <v>315244356.97000003</v>
      </c>
    </row>
    <row r="235" spans="1:7" x14ac:dyDescent="0.25">
      <c r="A235" s="1">
        <v>44651</v>
      </c>
      <c r="B235" t="str">
        <f t="shared" si="49"/>
        <v>1741</v>
      </c>
      <c r="C235" t="str">
        <f t="shared" si="50"/>
        <v>Просроченное вознаграждение по займам и финансовому лизингу, предоставленным клиентам</v>
      </c>
      <c r="D235" t="str">
        <f t="shared" si="51"/>
        <v>1</v>
      </c>
      <c r="E235" t="str">
        <f>"7"</f>
        <v>7</v>
      </c>
      <c r="F235" t="str">
        <f>"3"</f>
        <v>3</v>
      </c>
      <c r="G235" s="2">
        <v>6248909.4299999997</v>
      </c>
    </row>
    <row r="236" spans="1:7" x14ac:dyDescent="0.25">
      <c r="A236" s="1">
        <v>44651</v>
      </c>
      <c r="B236" t="str">
        <f t="shared" si="49"/>
        <v>1741</v>
      </c>
      <c r="C236" t="str">
        <f t="shared" si="50"/>
        <v>Просроченное вознаграждение по займам и финансовому лизингу, предоставленным клиентам</v>
      </c>
      <c r="D236" t="str">
        <f t="shared" si="51"/>
        <v>1</v>
      </c>
      <c r="E236" t="str">
        <f>"9"</f>
        <v>9</v>
      </c>
      <c r="F236" t="str">
        <f>"1"</f>
        <v>1</v>
      </c>
      <c r="G236" s="2">
        <v>4556680973.9700003</v>
      </c>
    </row>
    <row r="237" spans="1:7" x14ac:dyDescent="0.25">
      <c r="A237" s="1">
        <v>44651</v>
      </c>
      <c r="B237" t="str">
        <f t="shared" si="49"/>
        <v>1741</v>
      </c>
      <c r="C237" t="str">
        <f t="shared" si="50"/>
        <v>Просроченное вознаграждение по займам и финансовому лизингу, предоставленным клиентам</v>
      </c>
      <c r="D237" t="str">
        <f t="shared" si="51"/>
        <v>1</v>
      </c>
      <c r="E237" t="str">
        <f>"9"</f>
        <v>9</v>
      </c>
      <c r="F237" t="str">
        <f>"2"</f>
        <v>2</v>
      </c>
      <c r="G237" s="2">
        <v>918510212.59000003</v>
      </c>
    </row>
    <row r="238" spans="1:7" x14ac:dyDescent="0.25">
      <c r="A238" s="1">
        <v>44651</v>
      </c>
      <c r="B238" t="str">
        <f t="shared" si="49"/>
        <v>1741</v>
      </c>
      <c r="C238" t="str">
        <f t="shared" si="50"/>
        <v>Просроченное вознаграждение по займам и финансовому лизингу, предоставленным клиентам</v>
      </c>
      <c r="D238" t="str">
        <f>"2"</f>
        <v>2</v>
      </c>
      <c r="E238" t="str">
        <f>"7"</f>
        <v>7</v>
      </c>
      <c r="F238" t="str">
        <f>"2"</f>
        <v>2</v>
      </c>
      <c r="G238" s="2">
        <v>8012455.5099999998</v>
      </c>
    </row>
    <row r="239" spans="1:7" x14ac:dyDescent="0.25">
      <c r="A239" s="1">
        <v>44651</v>
      </c>
      <c r="B239" t="str">
        <f t="shared" si="49"/>
        <v>1741</v>
      </c>
      <c r="C239" t="str">
        <f t="shared" si="50"/>
        <v>Просроченное вознаграждение по займам и финансовому лизингу, предоставленным клиентам</v>
      </c>
      <c r="D239" t="str">
        <f>"2"</f>
        <v>2</v>
      </c>
      <c r="E239" t="str">
        <f>"9"</f>
        <v>9</v>
      </c>
      <c r="F239" t="str">
        <f>"1"</f>
        <v>1</v>
      </c>
      <c r="G239" s="2">
        <v>267358.99</v>
      </c>
    </row>
    <row r="240" spans="1:7" x14ac:dyDescent="0.25">
      <c r="A240" s="1">
        <v>44651</v>
      </c>
      <c r="B240" t="str">
        <f t="shared" ref="B240:B246" si="52">"1745"</f>
        <v>1745</v>
      </c>
      <c r="C240" t="str">
        <f t="shared" ref="C240:C246" si="53"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D240" t="str">
        <f>"1"</f>
        <v>1</v>
      </c>
      <c r="E240" t="str">
        <f>"1"</f>
        <v>1</v>
      </c>
      <c r="F240" t="str">
        <f>"2"</f>
        <v>2</v>
      </c>
      <c r="G240" s="2">
        <v>465674354.19</v>
      </c>
    </row>
    <row r="241" spans="1:7" x14ac:dyDescent="0.25">
      <c r="A241" s="1">
        <v>44651</v>
      </c>
      <c r="B241" t="str">
        <f t="shared" si="52"/>
        <v>1745</v>
      </c>
      <c r="C241" t="str">
        <f t="shared" si="53"/>
        <v>Начисленные доходы по ценным бумагам, учитываемым по амортизированной стоимости</v>
      </c>
      <c r="D241" t="str">
        <f>"1"</f>
        <v>1</v>
      </c>
      <c r="E241" t="str">
        <f>"4"</f>
        <v>4</v>
      </c>
      <c r="F241" t="str">
        <f>"2"</f>
        <v>2</v>
      </c>
      <c r="G241" s="2">
        <v>21817087.420000002</v>
      </c>
    </row>
    <row r="242" spans="1:7" x14ac:dyDescent="0.25">
      <c r="A242" s="1">
        <v>44651</v>
      </c>
      <c r="B242" t="str">
        <f t="shared" si="52"/>
        <v>1745</v>
      </c>
      <c r="C242" t="str">
        <f t="shared" si="53"/>
        <v>Начисленные доходы по ценным бумагам, учитываемым по амортизированной стоимости</v>
      </c>
      <c r="D242" t="str">
        <f>"1"</f>
        <v>1</v>
      </c>
      <c r="E242" t="str">
        <f>"5"</f>
        <v>5</v>
      </c>
      <c r="F242" t="str">
        <f>"1"</f>
        <v>1</v>
      </c>
      <c r="G242" s="2">
        <v>171000000</v>
      </c>
    </row>
    <row r="243" spans="1:7" x14ac:dyDescent="0.25">
      <c r="A243" s="1">
        <v>44651</v>
      </c>
      <c r="B243" t="str">
        <f t="shared" si="52"/>
        <v>1745</v>
      </c>
      <c r="C243" t="str">
        <f t="shared" si="53"/>
        <v>Начисленные доходы по ценным бумагам, учитываемым по амортизированной стоимости</v>
      </c>
      <c r="D243" t="str">
        <f>"1"</f>
        <v>1</v>
      </c>
      <c r="E243" t="str">
        <f>"6"</f>
        <v>6</v>
      </c>
      <c r="F243" t="str">
        <f>"1"</f>
        <v>1</v>
      </c>
      <c r="G243" s="2">
        <v>8780395833.3400002</v>
      </c>
    </row>
    <row r="244" spans="1:7" x14ac:dyDescent="0.25">
      <c r="A244" s="1">
        <v>44651</v>
      </c>
      <c r="B244" t="str">
        <f t="shared" si="52"/>
        <v>1745</v>
      </c>
      <c r="C244" t="str">
        <f t="shared" si="53"/>
        <v>Начисленные доходы по ценным бумагам, учитываемым по амортизированной стоимости</v>
      </c>
      <c r="D244" t="str">
        <f>"1"</f>
        <v>1</v>
      </c>
      <c r="E244" t="str">
        <f>"6"</f>
        <v>6</v>
      </c>
      <c r="F244" t="str">
        <f>"2"</f>
        <v>2</v>
      </c>
      <c r="G244" s="2">
        <v>276625458.06999999</v>
      </c>
    </row>
    <row r="245" spans="1:7" x14ac:dyDescent="0.25">
      <c r="A245" s="1">
        <v>44651</v>
      </c>
      <c r="B245" t="str">
        <f t="shared" si="52"/>
        <v>1745</v>
      </c>
      <c r="C245" t="str">
        <f t="shared" si="53"/>
        <v>Начисленные доходы по ценным бумагам, учитываемым по амортизированной стоимости</v>
      </c>
      <c r="D245" t="str">
        <f>"2"</f>
        <v>2</v>
      </c>
      <c r="E245" t="str">
        <f>"1"</f>
        <v>1</v>
      </c>
      <c r="F245" t="str">
        <f>"2"</f>
        <v>2</v>
      </c>
      <c r="G245" s="2">
        <v>12920671.359999999</v>
      </c>
    </row>
    <row r="246" spans="1:7" x14ac:dyDescent="0.25">
      <c r="A246" s="1">
        <v>44651</v>
      </c>
      <c r="B246" t="str">
        <f t="shared" si="52"/>
        <v>1745</v>
      </c>
      <c r="C246" t="str">
        <f t="shared" si="53"/>
        <v>Начисленные доходы по ценным бумагам, учитываемым по амортизированной стоимости</v>
      </c>
      <c r="D246" t="str">
        <f>"2"</f>
        <v>2</v>
      </c>
      <c r="E246" t="str">
        <f>"4"</f>
        <v>4</v>
      </c>
      <c r="F246" t="str">
        <f>"2"</f>
        <v>2</v>
      </c>
      <c r="G246" s="2">
        <v>10653887.16</v>
      </c>
    </row>
    <row r="247" spans="1:7" x14ac:dyDescent="0.25">
      <c r="A247" s="1">
        <v>44651</v>
      </c>
      <c r="B247" t="str">
        <f t="shared" ref="B247:B255" si="54">"1746"</f>
        <v>1746</v>
      </c>
      <c r="C247" t="str">
        <f t="shared" ref="C247:C255" si="55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D247" t="str">
        <f>"1"</f>
        <v>1</v>
      </c>
      <c r="E247" t="str">
        <f>"1"</f>
        <v>1</v>
      </c>
      <c r="F247" t="str">
        <f>"1"</f>
        <v>1</v>
      </c>
      <c r="G247" s="2">
        <v>16066949755.309999</v>
      </c>
    </row>
    <row r="248" spans="1:7" x14ac:dyDescent="0.25">
      <c r="A248" s="1">
        <v>44651</v>
      </c>
      <c r="B248" t="str">
        <f t="shared" si="54"/>
        <v>1746</v>
      </c>
      <c r="C248" t="str">
        <f t="shared" si="55"/>
        <v>Начисленные доходы по ценным бумагам, учитываемым по справедливой стоимости через прочий совокупный доход</v>
      </c>
      <c r="D248" t="str">
        <f>"1"</f>
        <v>1</v>
      </c>
      <c r="E248" t="str">
        <f>"1"</f>
        <v>1</v>
      </c>
      <c r="F248" t="str">
        <f>"2"</f>
        <v>2</v>
      </c>
      <c r="G248" s="2">
        <v>959939104.22000003</v>
      </c>
    </row>
    <row r="249" spans="1:7" x14ac:dyDescent="0.25">
      <c r="A249" s="1">
        <v>44651</v>
      </c>
      <c r="B249" t="str">
        <f t="shared" si="54"/>
        <v>1746</v>
      </c>
      <c r="C249" t="str">
        <f t="shared" si="55"/>
        <v>Начисленные доходы по ценным бумагам, учитываемым по справедливой стоимости через прочий совокупный доход</v>
      </c>
      <c r="D249" t="str">
        <f>"1"</f>
        <v>1</v>
      </c>
      <c r="E249" t="str">
        <f>"4"</f>
        <v>4</v>
      </c>
      <c r="F249" t="str">
        <f>"2"</f>
        <v>2</v>
      </c>
      <c r="G249" s="2">
        <v>169017789.97999999</v>
      </c>
    </row>
    <row r="250" spans="1:7" x14ac:dyDescent="0.25">
      <c r="A250" s="1">
        <v>44651</v>
      </c>
      <c r="B250" t="str">
        <f t="shared" si="54"/>
        <v>1746</v>
      </c>
      <c r="C250" t="str">
        <f t="shared" si="55"/>
        <v>Начисленные доходы по ценным бумагам, учитываемым по справедливой стоимости через прочий совокупный доход</v>
      </c>
      <c r="D250" t="str">
        <f>"1"</f>
        <v>1</v>
      </c>
      <c r="E250" t="str">
        <f>"5"</f>
        <v>5</v>
      </c>
      <c r="F250" t="str">
        <f>"1"</f>
        <v>1</v>
      </c>
      <c r="G250" s="2">
        <v>2589034302.0599999</v>
      </c>
    </row>
    <row r="251" spans="1:7" x14ac:dyDescent="0.25">
      <c r="A251" s="1">
        <v>44651</v>
      </c>
      <c r="B251" t="str">
        <f t="shared" si="54"/>
        <v>1746</v>
      </c>
      <c r="C251" t="str">
        <f t="shared" si="55"/>
        <v>Начисленные доходы по ценным бумагам, учитываемым по справедливой стоимости через прочий совокупный доход</v>
      </c>
      <c r="D251" t="str">
        <f>"1"</f>
        <v>1</v>
      </c>
      <c r="E251" t="str">
        <f>"6"</f>
        <v>6</v>
      </c>
      <c r="F251" t="str">
        <f>"2"</f>
        <v>2</v>
      </c>
      <c r="G251" s="2">
        <v>79246805.810000002</v>
      </c>
    </row>
    <row r="252" spans="1:7" x14ac:dyDescent="0.25">
      <c r="A252" s="1">
        <v>44651</v>
      </c>
      <c r="B252" t="str">
        <f t="shared" si="54"/>
        <v>1746</v>
      </c>
      <c r="C252" t="str">
        <f t="shared" si="55"/>
        <v>Начисленные доходы по ценным бумагам, учитываемым по справедливой стоимости через прочий совокупный доход</v>
      </c>
      <c r="D252" t="str">
        <f>"2"</f>
        <v>2</v>
      </c>
      <c r="E252" t="str">
        <f>"3"</f>
        <v>3</v>
      </c>
      <c r="F252" t="str">
        <f>"2"</f>
        <v>2</v>
      </c>
      <c r="G252" s="2">
        <v>3198508.89</v>
      </c>
    </row>
    <row r="253" spans="1:7" x14ac:dyDescent="0.25">
      <c r="A253" s="1">
        <v>44651</v>
      </c>
      <c r="B253" t="str">
        <f t="shared" si="54"/>
        <v>1746</v>
      </c>
      <c r="C253" t="str">
        <f t="shared" si="55"/>
        <v>Начисленные доходы по ценным бумагам, учитываемым по справедливой стоимости через прочий совокупный доход</v>
      </c>
      <c r="D253" t="str">
        <f>"2"</f>
        <v>2</v>
      </c>
      <c r="E253" t="str">
        <f>"4"</f>
        <v>4</v>
      </c>
      <c r="F253" t="str">
        <f>"2"</f>
        <v>2</v>
      </c>
      <c r="G253" s="2">
        <v>30090760.469999999</v>
      </c>
    </row>
    <row r="254" spans="1:7" x14ac:dyDescent="0.25">
      <c r="A254" s="1">
        <v>44651</v>
      </c>
      <c r="B254" t="str">
        <f t="shared" si="54"/>
        <v>1746</v>
      </c>
      <c r="C254" t="str">
        <f t="shared" si="55"/>
        <v>Начисленные доходы по ценным бумагам, учитываемым по справедливой стоимости через прочий совокупный доход</v>
      </c>
      <c r="D254" t="str">
        <f>"2"</f>
        <v>2</v>
      </c>
      <c r="E254" t="str">
        <f>"5"</f>
        <v>5</v>
      </c>
      <c r="F254" t="str">
        <f>"2"</f>
        <v>2</v>
      </c>
      <c r="G254" s="2">
        <v>80774232.189999998</v>
      </c>
    </row>
    <row r="255" spans="1:7" x14ac:dyDescent="0.25">
      <c r="A255" s="1">
        <v>44651</v>
      </c>
      <c r="B255" t="str">
        <f t="shared" si="54"/>
        <v>1746</v>
      </c>
      <c r="C255" t="str">
        <f t="shared" si="55"/>
        <v>Начисленные доходы по ценным бумагам, учитываемым по справедливой стоимости через прочий совокупный доход</v>
      </c>
      <c r="D255" t="str">
        <f>"2"</f>
        <v>2</v>
      </c>
      <c r="E255" t="str">
        <f>"7"</f>
        <v>7</v>
      </c>
      <c r="F255" t="str">
        <f>"2"</f>
        <v>2</v>
      </c>
      <c r="G255" s="2">
        <v>28699920.949999999</v>
      </c>
    </row>
    <row r="256" spans="1:7" x14ac:dyDescent="0.25">
      <c r="A256" s="1">
        <v>44651</v>
      </c>
      <c r="B256" t="str">
        <f>"1748"</f>
        <v>1748</v>
      </c>
      <c r="C256" t="str">
        <f>"Начисленные доходы по операциям «обратное РЕПО» с ценными бумагами"</f>
        <v>Начисленные доходы по операциям «обратное РЕПО» с ценными бумагами</v>
      </c>
      <c r="D256" t="str">
        <f t="shared" ref="D256:D270" si="56">"1"</f>
        <v>1</v>
      </c>
      <c r="E256" t="str">
        <f>"5"</f>
        <v>5</v>
      </c>
      <c r="F256" t="str">
        <f t="shared" ref="F256:F265" si="57">"1"</f>
        <v>1</v>
      </c>
      <c r="G256" s="2">
        <v>287619832.10000002</v>
      </c>
    </row>
    <row r="257" spans="1:7" x14ac:dyDescent="0.25">
      <c r="A257" s="1">
        <v>44651</v>
      </c>
      <c r="B257" t="str">
        <f>"1756"</f>
        <v>1756</v>
      </c>
      <c r="C257" t="str">
        <f>"Начисленные доходы по прочим операциям"</f>
        <v>Начисленные доходы по прочим операциям</v>
      </c>
      <c r="D257" t="str">
        <f t="shared" si="56"/>
        <v>1</v>
      </c>
      <c r="E257" t="str">
        <f>"9"</f>
        <v>9</v>
      </c>
      <c r="F257" t="str">
        <f t="shared" si="57"/>
        <v>1</v>
      </c>
      <c r="G257" s="2">
        <v>36018</v>
      </c>
    </row>
    <row r="258" spans="1:7" x14ac:dyDescent="0.25">
      <c r="A258" s="1">
        <v>44651</v>
      </c>
      <c r="B258" t="str">
        <f t="shared" ref="B258:B263" si="58">"1793"</f>
        <v>1793</v>
      </c>
      <c r="C258" t="str">
        <f t="shared" ref="C258:C263" si="59">"Расходы будущих периодов"</f>
        <v>Расходы будущих периодов</v>
      </c>
      <c r="D258" t="str">
        <f t="shared" si="56"/>
        <v>1</v>
      </c>
      <c r="E258" t="str">
        <f>"4"</f>
        <v>4</v>
      </c>
      <c r="F258" t="str">
        <f t="shared" si="57"/>
        <v>1</v>
      </c>
      <c r="G258" s="2">
        <v>64295766.700000003</v>
      </c>
    </row>
    <row r="259" spans="1:7" x14ac:dyDescent="0.25">
      <c r="A259" s="1">
        <v>44651</v>
      </c>
      <c r="B259" t="str">
        <f t="shared" si="58"/>
        <v>1793</v>
      </c>
      <c r="C259" t="str">
        <f t="shared" si="59"/>
        <v>Расходы будущих периодов</v>
      </c>
      <c r="D259" t="str">
        <f t="shared" si="56"/>
        <v>1</v>
      </c>
      <c r="E259" t="str">
        <f>"5"</f>
        <v>5</v>
      </c>
      <c r="F259" t="str">
        <f t="shared" si="57"/>
        <v>1</v>
      </c>
      <c r="G259" s="2">
        <v>423159476.70999998</v>
      </c>
    </row>
    <row r="260" spans="1:7" x14ac:dyDescent="0.25">
      <c r="A260" s="1">
        <v>44651</v>
      </c>
      <c r="B260" t="str">
        <f t="shared" si="58"/>
        <v>1793</v>
      </c>
      <c r="C260" t="str">
        <f t="shared" si="59"/>
        <v>Расходы будущих периодов</v>
      </c>
      <c r="D260" t="str">
        <f t="shared" si="56"/>
        <v>1</v>
      </c>
      <c r="E260" t="str">
        <f>"6"</f>
        <v>6</v>
      </c>
      <c r="F260" t="str">
        <f t="shared" si="57"/>
        <v>1</v>
      </c>
      <c r="G260" s="2">
        <v>5714453</v>
      </c>
    </row>
    <row r="261" spans="1:7" x14ac:dyDescent="0.25">
      <c r="A261" s="1">
        <v>44651</v>
      </c>
      <c r="B261" t="str">
        <f t="shared" si="58"/>
        <v>1793</v>
      </c>
      <c r="C261" t="str">
        <f t="shared" si="59"/>
        <v>Расходы будущих периодов</v>
      </c>
      <c r="D261" t="str">
        <f t="shared" si="56"/>
        <v>1</v>
      </c>
      <c r="E261" t="str">
        <f>"7"</f>
        <v>7</v>
      </c>
      <c r="F261" t="str">
        <f t="shared" si="57"/>
        <v>1</v>
      </c>
      <c r="G261" s="2">
        <v>653760511.08000004</v>
      </c>
    </row>
    <row r="262" spans="1:7" x14ac:dyDescent="0.25">
      <c r="A262" s="1">
        <v>44651</v>
      </c>
      <c r="B262" t="str">
        <f t="shared" si="58"/>
        <v>1793</v>
      </c>
      <c r="C262" t="str">
        <f t="shared" si="59"/>
        <v>Расходы будущих периодов</v>
      </c>
      <c r="D262" t="str">
        <f t="shared" si="56"/>
        <v>1</v>
      </c>
      <c r="E262" t="str">
        <f>"8"</f>
        <v>8</v>
      </c>
      <c r="F262" t="str">
        <f t="shared" si="57"/>
        <v>1</v>
      </c>
      <c r="G262" s="2">
        <v>9670890</v>
      </c>
    </row>
    <row r="263" spans="1:7" x14ac:dyDescent="0.25">
      <c r="A263" s="1">
        <v>44651</v>
      </c>
      <c r="B263" t="str">
        <f t="shared" si="58"/>
        <v>1793</v>
      </c>
      <c r="C263" t="str">
        <f t="shared" si="59"/>
        <v>Расходы будущих периодов</v>
      </c>
      <c r="D263" t="str">
        <f t="shared" si="56"/>
        <v>1</v>
      </c>
      <c r="E263" t="str">
        <f>"9"</f>
        <v>9</v>
      </c>
      <c r="F263" t="str">
        <f t="shared" si="57"/>
        <v>1</v>
      </c>
      <c r="G263" s="2">
        <v>2373937.81</v>
      </c>
    </row>
    <row r="264" spans="1:7" x14ac:dyDescent="0.25">
      <c r="A264" s="1">
        <v>44651</v>
      </c>
      <c r="B264" t="str">
        <f>"1799"</f>
        <v>1799</v>
      </c>
      <c r="C264" t="str">
        <f>"Прочие предоплаты"</f>
        <v>Прочие предоплаты</v>
      </c>
      <c r="D264" t="str">
        <f t="shared" si="56"/>
        <v>1</v>
      </c>
      <c r="E264" t="str">
        <f>"6"</f>
        <v>6</v>
      </c>
      <c r="F264" t="str">
        <f t="shared" si="57"/>
        <v>1</v>
      </c>
      <c r="G264" s="2">
        <v>112000</v>
      </c>
    </row>
    <row r="265" spans="1:7" x14ac:dyDescent="0.25">
      <c r="A265" s="1">
        <v>44651</v>
      </c>
      <c r="B265" t="str">
        <f>"1799"</f>
        <v>1799</v>
      </c>
      <c r="C265" t="str">
        <f>"Прочие предоплаты"</f>
        <v>Прочие предоплаты</v>
      </c>
      <c r="D265" t="str">
        <f t="shared" si="56"/>
        <v>1</v>
      </c>
      <c r="E265" t="str">
        <f>"7"</f>
        <v>7</v>
      </c>
      <c r="F265" t="str">
        <f t="shared" si="57"/>
        <v>1</v>
      </c>
      <c r="G265" s="2">
        <v>102972181.47</v>
      </c>
    </row>
    <row r="266" spans="1:7" x14ac:dyDescent="0.25">
      <c r="A266" s="1">
        <v>44651</v>
      </c>
      <c r="B266" t="str">
        <f>"1799"</f>
        <v>1799</v>
      </c>
      <c r="C266" t="str">
        <f>"Прочие предоплаты"</f>
        <v>Прочие предоплаты</v>
      </c>
      <c r="D266" t="str">
        <f t="shared" si="56"/>
        <v>1</v>
      </c>
      <c r="E266" t="str">
        <f>"7"</f>
        <v>7</v>
      </c>
      <c r="F266" t="str">
        <f>"2"</f>
        <v>2</v>
      </c>
      <c r="G266" s="2">
        <v>38848500</v>
      </c>
    </row>
    <row r="267" spans="1:7" x14ac:dyDescent="0.25">
      <c r="A267" s="1">
        <v>44651</v>
      </c>
      <c r="B267" t="str">
        <f>"1799"</f>
        <v>1799</v>
      </c>
      <c r="C267" t="str">
        <f>"Прочие предоплаты"</f>
        <v>Прочие предоплаты</v>
      </c>
      <c r="D267" t="str">
        <f t="shared" si="56"/>
        <v>1</v>
      </c>
      <c r="E267" t="str">
        <f>"9"</f>
        <v>9</v>
      </c>
      <c r="F267" t="str">
        <f>"1"</f>
        <v>1</v>
      </c>
      <c r="G267" s="2">
        <v>80000</v>
      </c>
    </row>
    <row r="268" spans="1:7" x14ac:dyDescent="0.25">
      <c r="A268" s="1">
        <v>44651</v>
      </c>
      <c r="B268" t="str">
        <f t="shared" ref="B268:B273" si="60">"1811"</f>
        <v>1811</v>
      </c>
      <c r="C268" t="str">
        <f t="shared" ref="C268:C273" si="61"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D268" t="str">
        <f t="shared" si="56"/>
        <v>1</v>
      </c>
      <c r="E268" t="str">
        <f>""</f>
        <v/>
      </c>
      <c r="F268" t="str">
        <f>"1"</f>
        <v>1</v>
      </c>
      <c r="G268" s="2">
        <v>23690387.41</v>
      </c>
    </row>
    <row r="269" spans="1:7" x14ac:dyDescent="0.25">
      <c r="A269" s="1">
        <v>44651</v>
      </c>
      <c r="B269" t="str">
        <f t="shared" si="60"/>
        <v>1811</v>
      </c>
      <c r="C269" t="str">
        <f t="shared" si="61"/>
        <v>Начисленные комиссионные доходы за услуги по переводным операциям</v>
      </c>
      <c r="D269" t="str">
        <f t="shared" si="56"/>
        <v>1</v>
      </c>
      <c r="E269" t="str">
        <f>""</f>
        <v/>
      </c>
      <c r="F269" t="str">
        <f>"2"</f>
        <v>2</v>
      </c>
      <c r="G269" s="2">
        <v>13837124.48</v>
      </c>
    </row>
    <row r="270" spans="1:7" x14ac:dyDescent="0.25">
      <c r="A270" s="1">
        <v>44651</v>
      </c>
      <c r="B270" t="str">
        <f t="shared" si="60"/>
        <v>1811</v>
      </c>
      <c r="C270" t="str">
        <f t="shared" si="61"/>
        <v>Начисленные комиссионные доходы за услуги по переводным операциям</v>
      </c>
      <c r="D270" t="str">
        <f t="shared" si="56"/>
        <v>1</v>
      </c>
      <c r="E270" t="str">
        <f>""</f>
        <v/>
      </c>
      <c r="F270" t="str">
        <f>"3"</f>
        <v>3</v>
      </c>
      <c r="G270" s="2">
        <v>746210.72</v>
      </c>
    </row>
    <row r="271" spans="1:7" x14ac:dyDescent="0.25">
      <c r="A271" s="1">
        <v>44651</v>
      </c>
      <c r="B271" t="str">
        <f t="shared" si="60"/>
        <v>1811</v>
      </c>
      <c r="C271" t="str">
        <f t="shared" si="61"/>
        <v>Начисленные комиссионные доходы за услуги по переводным операциям</v>
      </c>
      <c r="D271" t="str">
        <f>"2"</f>
        <v>2</v>
      </c>
      <c r="E271" t="str">
        <f>""</f>
        <v/>
      </c>
      <c r="F271" t="str">
        <f>"1"</f>
        <v>1</v>
      </c>
      <c r="G271" s="2">
        <v>781851.28</v>
      </c>
    </row>
    <row r="272" spans="1:7" x14ac:dyDescent="0.25">
      <c r="A272" s="1">
        <v>44651</v>
      </c>
      <c r="B272" t="str">
        <f t="shared" si="60"/>
        <v>1811</v>
      </c>
      <c r="C272" t="str">
        <f t="shared" si="61"/>
        <v>Начисленные комиссионные доходы за услуги по переводным операциям</v>
      </c>
      <c r="D272" t="str">
        <f>"2"</f>
        <v>2</v>
      </c>
      <c r="E272" t="str">
        <f>""</f>
        <v/>
      </c>
      <c r="F272" t="str">
        <f>"2"</f>
        <v>2</v>
      </c>
      <c r="G272" s="2">
        <v>1832445.61</v>
      </c>
    </row>
    <row r="273" spans="1:7" x14ac:dyDescent="0.25">
      <c r="A273" s="1">
        <v>44651</v>
      </c>
      <c r="B273" t="str">
        <f t="shared" si="60"/>
        <v>1811</v>
      </c>
      <c r="C273" t="str">
        <f t="shared" si="61"/>
        <v>Начисленные комиссионные доходы за услуги по переводным операциям</v>
      </c>
      <c r="D273" t="str">
        <f>"2"</f>
        <v>2</v>
      </c>
      <c r="E273" t="str">
        <f>""</f>
        <v/>
      </c>
      <c r="F273" t="str">
        <f>"3"</f>
        <v>3</v>
      </c>
      <c r="G273" s="2">
        <v>64003.76</v>
      </c>
    </row>
    <row r="274" spans="1:7" x14ac:dyDescent="0.25">
      <c r="A274" s="1">
        <v>44651</v>
      </c>
      <c r="B274" t="str">
        <f>"1812"</f>
        <v>1812</v>
      </c>
      <c r="C274" t="str">
        <f>"Начисленные комиссионные доходы за агентские услуги"</f>
        <v>Начисленные комиссионные доходы за агентские услуги</v>
      </c>
      <c r="D274" t="str">
        <f>"1"</f>
        <v>1</v>
      </c>
      <c r="E274" t="str">
        <f>""</f>
        <v/>
      </c>
      <c r="F274" t="str">
        <f>"1"</f>
        <v>1</v>
      </c>
      <c r="G274" s="2">
        <v>544336.59</v>
      </c>
    </row>
    <row r="275" spans="1:7" x14ac:dyDescent="0.25">
      <c r="A275" s="1">
        <v>44651</v>
      </c>
      <c r="B275" t="str">
        <f>"1814"</f>
        <v>1814</v>
      </c>
      <c r="C275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D275" t="str">
        <f>"1"</f>
        <v>1</v>
      </c>
      <c r="E275" t="str">
        <f>""</f>
        <v/>
      </c>
      <c r="F275" t="str">
        <f>"1"</f>
        <v>1</v>
      </c>
      <c r="G275" s="2">
        <v>115528.3</v>
      </c>
    </row>
    <row r="276" spans="1:7" x14ac:dyDescent="0.25">
      <c r="A276" s="1">
        <v>44651</v>
      </c>
      <c r="B276" t="str">
        <f>"1814"</f>
        <v>1814</v>
      </c>
      <c r="C276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D276" t="str">
        <f>"1"</f>
        <v>1</v>
      </c>
      <c r="E276" t="str">
        <f>""</f>
        <v/>
      </c>
      <c r="F276" t="str">
        <f>"2"</f>
        <v>2</v>
      </c>
      <c r="G276" s="2">
        <v>1115936.81</v>
      </c>
    </row>
    <row r="277" spans="1:7" x14ac:dyDescent="0.25">
      <c r="A277" s="1">
        <v>44651</v>
      </c>
      <c r="B277" t="str">
        <f>"1814"</f>
        <v>1814</v>
      </c>
      <c r="C277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D277" t="str">
        <f>"1"</f>
        <v>1</v>
      </c>
      <c r="E277" t="str">
        <f>""</f>
        <v/>
      </c>
      <c r="F277" t="str">
        <f>"3"</f>
        <v>3</v>
      </c>
      <c r="G277" s="2">
        <v>69090.67</v>
      </c>
    </row>
    <row r="278" spans="1:7" x14ac:dyDescent="0.25">
      <c r="A278" s="1">
        <v>44651</v>
      </c>
      <c r="B278" t="str">
        <f>"1814"</f>
        <v>1814</v>
      </c>
      <c r="C278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D278" t="str">
        <f>"2"</f>
        <v>2</v>
      </c>
      <c r="E278" t="str">
        <f>""</f>
        <v/>
      </c>
      <c r="F278" t="str">
        <f>"2"</f>
        <v>2</v>
      </c>
      <c r="G278" s="2">
        <v>106891.21</v>
      </c>
    </row>
    <row r="279" spans="1:7" x14ac:dyDescent="0.25">
      <c r="A279" s="1">
        <v>44651</v>
      </c>
      <c r="B279" t="str">
        <f>"1815"</f>
        <v>1815</v>
      </c>
      <c r="C279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D279" t="str">
        <f t="shared" ref="D279:D285" si="62">"1"</f>
        <v>1</v>
      </c>
      <c r="E279" t="str">
        <f>""</f>
        <v/>
      </c>
      <c r="F279" t="str">
        <f>"1"</f>
        <v>1</v>
      </c>
      <c r="G279" s="2">
        <v>323643.11</v>
      </c>
    </row>
    <row r="280" spans="1:7" x14ac:dyDescent="0.25">
      <c r="A280" s="1">
        <v>44651</v>
      </c>
      <c r="B280" t="str">
        <f>"1816"</f>
        <v>1816</v>
      </c>
      <c r="C280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D280" t="str">
        <f t="shared" si="62"/>
        <v>1</v>
      </c>
      <c r="E280" t="str">
        <f>""</f>
        <v/>
      </c>
      <c r="F280" t="str">
        <f>"1"</f>
        <v>1</v>
      </c>
      <c r="G280" s="2">
        <v>34187185.82</v>
      </c>
    </row>
    <row r="281" spans="1:7" x14ac:dyDescent="0.25">
      <c r="A281" s="1">
        <v>44651</v>
      </c>
      <c r="B281" t="str">
        <f>"1816"</f>
        <v>1816</v>
      </c>
      <c r="C28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D281" t="str">
        <f t="shared" si="62"/>
        <v>1</v>
      </c>
      <c r="E281" t="str">
        <f>""</f>
        <v/>
      </c>
      <c r="F281" t="str">
        <f>"2"</f>
        <v>2</v>
      </c>
      <c r="G281" s="2">
        <v>22830671.710000001</v>
      </c>
    </row>
    <row r="282" spans="1:7" x14ac:dyDescent="0.25">
      <c r="A282" s="1">
        <v>44651</v>
      </c>
      <c r="B282" t="str">
        <f>"1816"</f>
        <v>1816</v>
      </c>
      <c r="C282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D282" t="str">
        <f t="shared" si="62"/>
        <v>1</v>
      </c>
      <c r="E282" t="str">
        <f>""</f>
        <v/>
      </c>
      <c r="F282" t="str">
        <f>"3"</f>
        <v>3</v>
      </c>
      <c r="G282" s="2">
        <v>70299.98</v>
      </c>
    </row>
    <row r="283" spans="1:7" x14ac:dyDescent="0.25">
      <c r="A283" s="1">
        <v>44651</v>
      </c>
      <c r="B283" t="str">
        <f>"1817"</f>
        <v>1817</v>
      </c>
      <c r="C283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D283" t="str">
        <f t="shared" si="62"/>
        <v>1</v>
      </c>
      <c r="E283" t="str">
        <f>""</f>
        <v/>
      </c>
      <c r="F283" t="str">
        <f>"1"</f>
        <v>1</v>
      </c>
      <c r="G283" s="2">
        <v>420354763.91000003</v>
      </c>
    </row>
    <row r="284" spans="1:7" x14ac:dyDescent="0.25">
      <c r="A284" s="1">
        <v>44651</v>
      </c>
      <c r="B284" t="str">
        <f>"1817"</f>
        <v>1817</v>
      </c>
      <c r="C284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D284" t="str">
        <f t="shared" si="62"/>
        <v>1</v>
      </c>
      <c r="E284" t="str">
        <f>""</f>
        <v/>
      </c>
      <c r="F284" t="str">
        <f>"2"</f>
        <v>2</v>
      </c>
      <c r="G284" s="2">
        <v>14015540.1</v>
      </c>
    </row>
    <row r="285" spans="1:7" x14ac:dyDescent="0.25">
      <c r="A285" s="1">
        <v>44651</v>
      </c>
      <c r="B285" t="str">
        <f>"1817"</f>
        <v>1817</v>
      </c>
      <c r="C285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D285" t="str">
        <f t="shared" si="62"/>
        <v>1</v>
      </c>
      <c r="E285" t="str">
        <f>""</f>
        <v/>
      </c>
      <c r="F285" t="str">
        <f>"3"</f>
        <v>3</v>
      </c>
      <c r="G285" s="2">
        <v>31384.14</v>
      </c>
    </row>
    <row r="286" spans="1:7" x14ac:dyDescent="0.25">
      <c r="A286" s="1">
        <v>44651</v>
      </c>
      <c r="B286" t="str">
        <f>"1817"</f>
        <v>1817</v>
      </c>
      <c r="C286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D286" t="str">
        <f>"2"</f>
        <v>2</v>
      </c>
      <c r="E286" t="str">
        <f>""</f>
        <v/>
      </c>
      <c r="F286" t="str">
        <f>"1"</f>
        <v>1</v>
      </c>
      <c r="G286" s="2">
        <v>6844154.4900000002</v>
      </c>
    </row>
    <row r="287" spans="1:7" x14ac:dyDescent="0.25">
      <c r="A287" s="1">
        <v>44651</v>
      </c>
      <c r="B287" t="str">
        <f>"1817"</f>
        <v>1817</v>
      </c>
      <c r="C28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D287" t="str">
        <f>"2"</f>
        <v>2</v>
      </c>
      <c r="E287" t="str">
        <f>""</f>
        <v/>
      </c>
      <c r="F287" t="str">
        <f>"2"</f>
        <v>2</v>
      </c>
      <c r="G287" s="2">
        <v>666715.32999999996</v>
      </c>
    </row>
    <row r="288" spans="1:7" x14ac:dyDescent="0.25">
      <c r="A288" s="1">
        <v>44651</v>
      </c>
      <c r="B288" t="str">
        <f>"1818"</f>
        <v>1818</v>
      </c>
      <c r="C288" t="str">
        <f>"Начисленные прочие комиссионные доходы"</f>
        <v>Начисленные прочие комиссионные доходы</v>
      </c>
      <c r="D288" t="str">
        <f>"1"</f>
        <v>1</v>
      </c>
      <c r="E288" t="str">
        <f>""</f>
        <v/>
      </c>
      <c r="F288" t="str">
        <f>"1"</f>
        <v>1</v>
      </c>
      <c r="G288" s="2">
        <v>33029070.390000001</v>
      </c>
    </row>
    <row r="289" spans="1:7" x14ac:dyDescent="0.25">
      <c r="A289" s="1">
        <v>44651</v>
      </c>
      <c r="B289" t="str">
        <f>"1818"</f>
        <v>1818</v>
      </c>
      <c r="C289" t="str">
        <f>"Начисленные прочие комиссионные доходы"</f>
        <v>Начисленные прочие комиссионные доходы</v>
      </c>
      <c r="D289" t="str">
        <f>"1"</f>
        <v>1</v>
      </c>
      <c r="E289" t="str">
        <f>""</f>
        <v/>
      </c>
      <c r="F289" t="str">
        <f>"3"</f>
        <v>3</v>
      </c>
      <c r="G289" s="2">
        <v>2850</v>
      </c>
    </row>
    <row r="290" spans="1:7" x14ac:dyDescent="0.25">
      <c r="A290" s="1">
        <v>44651</v>
      </c>
      <c r="B290" t="str">
        <f>"1818"</f>
        <v>1818</v>
      </c>
      <c r="C290" t="str">
        <f>"Начисленные прочие комиссионные доходы"</f>
        <v>Начисленные прочие комиссионные доходы</v>
      </c>
      <c r="D290" t="str">
        <f>"2"</f>
        <v>2</v>
      </c>
      <c r="E290" t="str">
        <f>""</f>
        <v/>
      </c>
      <c r="F290" t="str">
        <f>"1"</f>
        <v>1</v>
      </c>
      <c r="G290" s="2">
        <v>136490.76999999999</v>
      </c>
    </row>
    <row r="291" spans="1:7" x14ac:dyDescent="0.25">
      <c r="A291" s="1">
        <v>44651</v>
      </c>
      <c r="B291" t="str">
        <f>"1820"</f>
        <v>1820</v>
      </c>
      <c r="C291" t="str">
        <f>"Начисленные комиссионные доходы за акцепт платежных документов"</f>
        <v>Начисленные комиссионные доходы за акцепт платежных документов</v>
      </c>
      <c r="D291" t="str">
        <f>"2"</f>
        <v>2</v>
      </c>
      <c r="E291" t="str">
        <f>""</f>
        <v/>
      </c>
      <c r="F291" t="str">
        <f>"1"</f>
        <v>1</v>
      </c>
      <c r="G291" s="2">
        <v>69617.89</v>
      </c>
    </row>
    <row r="292" spans="1:7" x14ac:dyDescent="0.25">
      <c r="A292" s="1">
        <v>44651</v>
      </c>
      <c r="B292" t="str">
        <f>"1821"</f>
        <v>1821</v>
      </c>
      <c r="C292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D292" t="str">
        <f>"1"</f>
        <v>1</v>
      </c>
      <c r="E292" t="str">
        <f>""</f>
        <v/>
      </c>
      <c r="F292" t="str">
        <f>"1"</f>
        <v>1</v>
      </c>
      <c r="G292" s="2">
        <v>24619639.989999998</v>
      </c>
    </row>
    <row r="293" spans="1:7" x14ac:dyDescent="0.25">
      <c r="A293" s="1">
        <v>44651</v>
      </c>
      <c r="B293" t="str">
        <f>"1821"</f>
        <v>1821</v>
      </c>
      <c r="C293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D293" t="str">
        <f>"1"</f>
        <v>1</v>
      </c>
      <c r="E293" t="str">
        <f>""</f>
        <v/>
      </c>
      <c r="F293" t="str">
        <f>"2"</f>
        <v>2</v>
      </c>
      <c r="G293" s="2">
        <v>3350840.46</v>
      </c>
    </row>
    <row r="294" spans="1:7" x14ac:dyDescent="0.25">
      <c r="A294" s="1">
        <v>44651</v>
      </c>
      <c r="B294" t="str">
        <f>"1821"</f>
        <v>1821</v>
      </c>
      <c r="C294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D294" t="str">
        <f>"1"</f>
        <v>1</v>
      </c>
      <c r="E294" t="str">
        <f>""</f>
        <v/>
      </c>
      <c r="F294" t="str">
        <f>"3"</f>
        <v>3</v>
      </c>
      <c r="G294" s="2">
        <v>84634.86</v>
      </c>
    </row>
    <row r="295" spans="1:7" x14ac:dyDescent="0.25">
      <c r="A295" s="1">
        <v>44651</v>
      </c>
      <c r="B295" t="str">
        <f>"1821"</f>
        <v>1821</v>
      </c>
      <c r="C295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D295" t="str">
        <f>"2"</f>
        <v>2</v>
      </c>
      <c r="E295" t="str">
        <f>""</f>
        <v/>
      </c>
      <c r="F295" t="str">
        <f>"1"</f>
        <v>1</v>
      </c>
      <c r="G295" s="2">
        <v>167594.48000000001</v>
      </c>
    </row>
    <row r="296" spans="1:7" x14ac:dyDescent="0.25">
      <c r="A296" s="1">
        <v>44651</v>
      </c>
      <c r="B296" t="str">
        <f>"1821"</f>
        <v>1821</v>
      </c>
      <c r="C296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D296" t="str">
        <f>"2"</f>
        <v>2</v>
      </c>
      <c r="E296" t="str">
        <f>""</f>
        <v/>
      </c>
      <c r="F296" t="str">
        <f>"2"</f>
        <v>2</v>
      </c>
      <c r="G296" s="2">
        <v>30589.93</v>
      </c>
    </row>
    <row r="297" spans="1:7" x14ac:dyDescent="0.25">
      <c r="A297" s="1">
        <v>44651</v>
      </c>
      <c r="B297" t="str">
        <f>"1827"</f>
        <v>1827</v>
      </c>
      <c r="C297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D297" t="str">
        <f>"1"</f>
        <v>1</v>
      </c>
      <c r="E297" t="str">
        <f>""</f>
        <v/>
      </c>
      <c r="F297" t="str">
        <f>"1"</f>
        <v>1</v>
      </c>
      <c r="G297" s="2">
        <v>376108.48</v>
      </c>
    </row>
    <row r="298" spans="1:7" x14ac:dyDescent="0.25">
      <c r="A298" s="1">
        <v>44651</v>
      </c>
      <c r="B298" t="str">
        <f>"1827"</f>
        <v>1827</v>
      </c>
      <c r="C298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D298" t="str">
        <f>"1"</f>
        <v>1</v>
      </c>
      <c r="E298" t="str">
        <f>""</f>
        <v/>
      </c>
      <c r="F298" t="str">
        <f>"2"</f>
        <v>2</v>
      </c>
      <c r="G298" s="2">
        <v>98073.43</v>
      </c>
    </row>
    <row r="299" spans="1:7" x14ac:dyDescent="0.25">
      <c r="A299" s="1">
        <v>44651</v>
      </c>
      <c r="B299" t="str">
        <f>"1827"</f>
        <v>1827</v>
      </c>
      <c r="C299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D299" t="str">
        <f>"1"</f>
        <v>1</v>
      </c>
      <c r="E299" t="str">
        <f>""</f>
        <v/>
      </c>
      <c r="F299" t="str">
        <f>"3"</f>
        <v>3</v>
      </c>
      <c r="G299" s="2">
        <v>3693.6</v>
      </c>
    </row>
    <row r="300" spans="1:7" x14ac:dyDescent="0.25">
      <c r="A300" s="1">
        <v>44651</v>
      </c>
      <c r="B300" t="str">
        <f>"1831"</f>
        <v>1831</v>
      </c>
      <c r="C300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D300" t="str">
        <f>"1"</f>
        <v>1</v>
      </c>
      <c r="E300" t="str">
        <f>""</f>
        <v/>
      </c>
      <c r="F300" t="str">
        <f>"1"</f>
        <v>1</v>
      </c>
      <c r="G300" s="2">
        <v>67527378.280000001</v>
      </c>
    </row>
    <row r="301" spans="1:7" x14ac:dyDescent="0.25">
      <c r="A301" s="1">
        <v>44651</v>
      </c>
      <c r="B301" t="str">
        <f>"1831"</f>
        <v>1831</v>
      </c>
      <c r="C30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D301" t="str">
        <f>"1"</f>
        <v>1</v>
      </c>
      <c r="E301" t="str">
        <f>""</f>
        <v/>
      </c>
      <c r="F301" t="str">
        <f>"3"</f>
        <v>3</v>
      </c>
      <c r="G301" s="2">
        <v>591048.52</v>
      </c>
    </row>
    <row r="302" spans="1:7" x14ac:dyDescent="0.25">
      <c r="A302" s="1">
        <v>44651</v>
      </c>
      <c r="B302" t="str">
        <f>"1831"</f>
        <v>1831</v>
      </c>
      <c r="C302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D302" t="str">
        <f>"2"</f>
        <v>2</v>
      </c>
      <c r="E302" t="str">
        <f>""</f>
        <v/>
      </c>
      <c r="F302" t="str">
        <f>"1"</f>
        <v>1</v>
      </c>
      <c r="G302" s="2">
        <v>49802.5</v>
      </c>
    </row>
    <row r="303" spans="1:7" x14ac:dyDescent="0.25">
      <c r="A303" s="1">
        <v>44651</v>
      </c>
      <c r="B303" t="str">
        <f>"1831"</f>
        <v>1831</v>
      </c>
      <c r="C303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D303" t="str">
        <f>"2"</f>
        <v>2</v>
      </c>
      <c r="E303" t="str">
        <f>""</f>
        <v/>
      </c>
      <c r="F303" t="str">
        <f>"3"</f>
        <v>3</v>
      </c>
      <c r="G303" s="2">
        <v>217839</v>
      </c>
    </row>
    <row r="304" spans="1:7" x14ac:dyDescent="0.25">
      <c r="A304" s="1">
        <v>44651</v>
      </c>
      <c r="B304" t="str">
        <f>"1834"</f>
        <v>1834</v>
      </c>
      <c r="C304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D304" t="str">
        <f t="shared" ref="D304:D310" si="63">"1"</f>
        <v>1</v>
      </c>
      <c r="E304" t="str">
        <f>""</f>
        <v/>
      </c>
      <c r="F304" t="str">
        <f>"1"</f>
        <v>1</v>
      </c>
      <c r="G304" s="2">
        <v>89374.51</v>
      </c>
    </row>
    <row r="305" spans="1:7" x14ac:dyDescent="0.25">
      <c r="A305" s="1">
        <v>44651</v>
      </c>
      <c r="B305" t="str">
        <f>"1834"</f>
        <v>1834</v>
      </c>
      <c r="C305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D305" t="str">
        <f t="shared" si="63"/>
        <v>1</v>
      </c>
      <c r="E305" t="str">
        <f>""</f>
        <v/>
      </c>
      <c r="F305" t="str">
        <f>"3"</f>
        <v>3</v>
      </c>
      <c r="G305" s="2">
        <v>15834.83</v>
      </c>
    </row>
    <row r="306" spans="1:7" x14ac:dyDescent="0.25">
      <c r="A306" s="1">
        <v>44651</v>
      </c>
      <c r="B306" t="str">
        <f>"1836"</f>
        <v>1836</v>
      </c>
      <c r="C306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D306" t="str">
        <f t="shared" si="63"/>
        <v>1</v>
      </c>
      <c r="E306" t="str">
        <f>""</f>
        <v/>
      </c>
      <c r="F306" t="str">
        <f>"1"</f>
        <v>1</v>
      </c>
      <c r="G306" s="2">
        <v>31972633.77</v>
      </c>
    </row>
    <row r="307" spans="1:7" x14ac:dyDescent="0.25">
      <c r="A307" s="1">
        <v>44651</v>
      </c>
      <c r="B307" t="str">
        <f>"1836"</f>
        <v>1836</v>
      </c>
      <c r="C307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D307" t="str">
        <f t="shared" si="63"/>
        <v>1</v>
      </c>
      <c r="E307" t="str">
        <f>""</f>
        <v/>
      </c>
      <c r="F307" t="str">
        <f>"2"</f>
        <v>2</v>
      </c>
      <c r="G307" s="2">
        <v>1579357.28</v>
      </c>
    </row>
    <row r="308" spans="1:7" x14ac:dyDescent="0.25">
      <c r="A308" s="1">
        <v>44651</v>
      </c>
      <c r="B308" t="str">
        <f>"1837"</f>
        <v>1837</v>
      </c>
      <c r="C308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D308" t="str">
        <f t="shared" si="63"/>
        <v>1</v>
      </c>
      <c r="E308" t="str">
        <f>""</f>
        <v/>
      </c>
      <c r="F308" t="str">
        <f>"1"</f>
        <v>1</v>
      </c>
      <c r="G308" s="2">
        <v>594412445.10000002</v>
      </c>
    </row>
    <row r="309" spans="1:7" x14ac:dyDescent="0.25">
      <c r="A309" s="1">
        <v>44651</v>
      </c>
      <c r="B309" t="str">
        <f>"1837"</f>
        <v>1837</v>
      </c>
      <c r="C309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D309" t="str">
        <f t="shared" si="63"/>
        <v>1</v>
      </c>
      <c r="E309" t="str">
        <f>""</f>
        <v/>
      </c>
      <c r="F309" t="str">
        <f>"2"</f>
        <v>2</v>
      </c>
      <c r="G309" s="2">
        <v>182977.59</v>
      </c>
    </row>
    <row r="310" spans="1:7" x14ac:dyDescent="0.25">
      <c r="A310" s="1">
        <v>44651</v>
      </c>
      <c r="B310" t="str">
        <f>"1837"</f>
        <v>1837</v>
      </c>
      <c r="C310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D310" t="str">
        <f t="shared" si="63"/>
        <v>1</v>
      </c>
      <c r="E310" t="str">
        <f>""</f>
        <v/>
      </c>
      <c r="F310" t="str">
        <f>"3"</f>
        <v>3</v>
      </c>
      <c r="G310" s="2">
        <v>32324.11</v>
      </c>
    </row>
    <row r="311" spans="1:7" x14ac:dyDescent="0.25">
      <c r="A311" s="1">
        <v>44651</v>
      </c>
      <c r="B311" t="str">
        <f>"1837"</f>
        <v>1837</v>
      </c>
      <c r="C3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D311" t="str">
        <f>"2"</f>
        <v>2</v>
      </c>
      <c r="E311" t="str">
        <f>""</f>
        <v/>
      </c>
      <c r="F311" t="str">
        <f>"1"</f>
        <v>1</v>
      </c>
      <c r="G311" s="2">
        <v>3193214.93</v>
      </c>
    </row>
    <row r="312" spans="1:7" x14ac:dyDescent="0.25">
      <c r="A312" s="1">
        <v>44651</v>
      </c>
      <c r="B312" t="str">
        <f>"1838"</f>
        <v>1838</v>
      </c>
      <c r="C312" t="str">
        <f>"Просроченные прочие комиссионные доходы"</f>
        <v>Просроченные прочие комиссионные доходы</v>
      </c>
      <c r="D312" t="str">
        <f>"1"</f>
        <v>1</v>
      </c>
      <c r="E312" t="str">
        <f>""</f>
        <v/>
      </c>
      <c r="F312" t="str">
        <f>"1"</f>
        <v>1</v>
      </c>
      <c r="G312" s="2">
        <v>81895734.219999999</v>
      </c>
    </row>
    <row r="313" spans="1:7" x14ac:dyDescent="0.25">
      <c r="A313" s="1">
        <v>44651</v>
      </c>
      <c r="B313" t="str">
        <f>"1838"</f>
        <v>1838</v>
      </c>
      <c r="C313" t="str">
        <f>"Просроченные прочие комиссионные доходы"</f>
        <v>Просроченные прочие комиссионные доходы</v>
      </c>
      <c r="D313" t="str">
        <f>"1"</f>
        <v>1</v>
      </c>
      <c r="E313" t="str">
        <f>""</f>
        <v/>
      </c>
      <c r="F313" t="str">
        <f>"2"</f>
        <v>2</v>
      </c>
      <c r="G313" s="2">
        <v>100830831.5</v>
      </c>
    </row>
    <row r="314" spans="1:7" x14ac:dyDescent="0.25">
      <c r="A314" s="1">
        <v>44651</v>
      </c>
      <c r="B314" t="str">
        <f>"1838"</f>
        <v>1838</v>
      </c>
      <c r="C314" t="str">
        <f>"Просроченные прочие комиссионные доходы"</f>
        <v>Просроченные прочие комиссионные доходы</v>
      </c>
      <c r="D314" t="str">
        <f>"1"</f>
        <v>1</v>
      </c>
      <c r="E314" t="str">
        <f>""</f>
        <v/>
      </c>
      <c r="F314" t="str">
        <f>"3"</f>
        <v>3</v>
      </c>
      <c r="G314" s="2">
        <v>75.7</v>
      </c>
    </row>
    <row r="315" spans="1:7" x14ac:dyDescent="0.25">
      <c r="A315" s="1">
        <v>44651</v>
      </c>
      <c r="B315" t="str">
        <f>"1838"</f>
        <v>1838</v>
      </c>
      <c r="C315" t="str">
        <f>"Просроченные прочие комиссионные доходы"</f>
        <v>Просроченные прочие комиссионные доходы</v>
      </c>
      <c r="D315" t="str">
        <f>"2"</f>
        <v>2</v>
      </c>
      <c r="E315" t="str">
        <f>""</f>
        <v/>
      </c>
      <c r="F315" t="str">
        <f>"1"</f>
        <v>1</v>
      </c>
      <c r="G315" s="2">
        <v>232883.1</v>
      </c>
    </row>
    <row r="316" spans="1:7" x14ac:dyDescent="0.25">
      <c r="A316" s="1">
        <v>44651</v>
      </c>
      <c r="B316" t="str">
        <f>"1840"</f>
        <v>1840</v>
      </c>
      <c r="C316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D316" t="str">
        <f>"1"</f>
        <v>1</v>
      </c>
      <c r="E316" t="str">
        <f>""</f>
        <v/>
      </c>
      <c r="F316" t="str">
        <f>"1"</f>
        <v>1</v>
      </c>
      <c r="G316" s="2">
        <v>410746.03</v>
      </c>
    </row>
    <row r="317" spans="1:7" x14ac:dyDescent="0.25">
      <c r="A317" s="1">
        <v>44651</v>
      </c>
      <c r="B317" t="str">
        <f>"1840"</f>
        <v>1840</v>
      </c>
      <c r="C317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D317" t="str">
        <f>"1"</f>
        <v>1</v>
      </c>
      <c r="E317" t="str">
        <f>""</f>
        <v/>
      </c>
      <c r="F317" t="str">
        <f>"3"</f>
        <v>3</v>
      </c>
      <c r="G317" s="2">
        <v>9901.4699999999993</v>
      </c>
    </row>
    <row r="318" spans="1:7" x14ac:dyDescent="0.25">
      <c r="A318" s="1">
        <v>44651</v>
      </c>
      <c r="B318" t="str">
        <f>"1841"</f>
        <v>1841</v>
      </c>
      <c r="C318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D318" t="str">
        <f>"1"</f>
        <v>1</v>
      </c>
      <c r="E318" t="str">
        <f>""</f>
        <v/>
      </c>
      <c r="F318" t="str">
        <f>"1"</f>
        <v>1</v>
      </c>
      <c r="G318" s="2">
        <v>12253157.98</v>
      </c>
    </row>
    <row r="319" spans="1:7" x14ac:dyDescent="0.25">
      <c r="A319" s="1">
        <v>44651</v>
      </c>
      <c r="B319" t="str">
        <f>"1841"</f>
        <v>1841</v>
      </c>
      <c r="C319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D319" t="str">
        <f>"1"</f>
        <v>1</v>
      </c>
      <c r="E319" t="str">
        <f>""</f>
        <v/>
      </c>
      <c r="F319" t="str">
        <f>"3"</f>
        <v>3</v>
      </c>
      <c r="G319" s="2">
        <v>349381.98</v>
      </c>
    </row>
    <row r="320" spans="1:7" x14ac:dyDescent="0.25">
      <c r="A320" s="1">
        <v>44651</v>
      </c>
      <c r="B320" t="str">
        <f>"1841"</f>
        <v>1841</v>
      </c>
      <c r="C320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D320" t="str">
        <f>"2"</f>
        <v>2</v>
      </c>
      <c r="E320" t="str">
        <f>""</f>
        <v/>
      </c>
      <c r="F320" t="str">
        <f>"1"</f>
        <v>1</v>
      </c>
      <c r="G320" s="2">
        <v>318967.53000000003</v>
      </c>
    </row>
    <row r="321" spans="1:7" x14ac:dyDescent="0.25">
      <c r="A321" s="1">
        <v>44651</v>
      </c>
      <c r="B321" t="str">
        <f>"1844"</f>
        <v>1844</v>
      </c>
      <c r="C321" t="str">
        <f>"Просроченные комиссионные доходы за услуги по факторинговым операциям"</f>
        <v>Просроченные комиссионные доходы за услуги по факторинговым операциям</v>
      </c>
      <c r="D321" t="str">
        <f>"1"</f>
        <v>1</v>
      </c>
      <c r="E321" t="str">
        <f>""</f>
        <v/>
      </c>
      <c r="F321" t="str">
        <f>"1"</f>
        <v>1</v>
      </c>
      <c r="G321" s="2">
        <v>7911.26</v>
      </c>
    </row>
    <row r="322" spans="1:7" x14ac:dyDescent="0.25">
      <c r="A322" s="1">
        <v>44651</v>
      </c>
      <c r="B322" t="str">
        <f>"1845"</f>
        <v>1845</v>
      </c>
      <c r="C322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D322" t="str">
        <f>"1"</f>
        <v>1</v>
      </c>
      <c r="E322" t="str">
        <f>""</f>
        <v/>
      </c>
      <c r="F322" t="str">
        <f>"1"</f>
        <v>1</v>
      </c>
      <c r="G322" s="2">
        <v>-1064085274.37</v>
      </c>
    </row>
    <row r="323" spans="1:7" x14ac:dyDescent="0.25">
      <c r="A323" s="1">
        <v>44651</v>
      </c>
      <c r="B323" t="str">
        <f>"1845"</f>
        <v>1845</v>
      </c>
      <c r="C323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D323" t="str">
        <f>"1"</f>
        <v>1</v>
      </c>
      <c r="E323" t="str">
        <f>""</f>
        <v/>
      </c>
      <c r="F323" t="str">
        <f>"2"</f>
        <v>2</v>
      </c>
      <c r="G323" s="2">
        <v>-710861.62</v>
      </c>
    </row>
    <row r="324" spans="1:7" x14ac:dyDescent="0.25">
      <c r="A324" s="1">
        <v>44651</v>
      </c>
      <c r="B324" t="str">
        <f>"1845"</f>
        <v>1845</v>
      </c>
      <c r="C324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D324" t="str">
        <f>"1"</f>
        <v>1</v>
      </c>
      <c r="E324" t="str">
        <f>""</f>
        <v/>
      </c>
      <c r="F324" t="str">
        <f>"3"</f>
        <v>3</v>
      </c>
      <c r="G324" s="2">
        <v>-10961.27</v>
      </c>
    </row>
    <row r="325" spans="1:7" x14ac:dyDescent="0.25">
      <c r="A325" s="1">
        <v>44651</v>
      </c>
      <c r="B325" t="str">
        <f>"1845"</f>
        <v>1845</v>
      </c>
      <c r="C325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D325" t="str">
        <f>"2"</f>
        <v>2</v>
      </c>
      <c r="E325" t="str">
        <f>""</f>
        <v/>
      </c>
      <c r="F325" t="str">
        <f>"1"</f>
        <v>1</v>
      </c>
      <c r="G325" s="2">
        <v>-3820282.06</v>
      </c>
    </row>
    <row r="326" spans="1:7" x14ac:dyDescent="0.25">
      <c r="A326" s="1">
        <v>44651</v>
      </c>
      <c r="B326" t="str">
        <f>"1851"</f>
        <v>1851</v>
      </c>
      <c r="C326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D326" t="str">
        <f>"1"</f>
        <v>1</v>
      </c>
      <c r="E326" t="str">
        <f>"1"</f>
        <v>1</v>
      </c>
      <c r="F326" t="str">
        <f>"1"</f>
        <v>1</v>
      </c>
      <c r="G326" s="2">
        <v>1477066634.3599999</v>
      </c>
    </row>
    <row r="327" spans="1:7" x14ac:dyDescent="0.25">
      <c r="A327" s="1">
        <v>44651</v>
      </c>
      <c r="B327" t="str">
        <f>"1854"</f>
        <v>1854</v>
      </c>
      <c r="C327" t="str">
        <f>"Расчеты с работниками"</f>
        <v>Расчеты с работниками</v>
      </c>
      <c r="D327" t="str">
        <f>""</f>
        <v/>
      </c>
      <c r="E327" t="str">
        <f>""</f>
        <v/>
      </c>
      <c r="F327" t="str">
        <f>""</f>
        <v/>
      </c>
      <c r="G327" s="2">
        <v>113066552.97</v>
      </c>
    </row>
    <row r="328" spans="1:7" x14ac:dyDescent="0.25">
      <c r="A328" s="1">
        <v>44651</v>
      </c>
      <c r="B328" t="str">
        <f>"1856"</f>
        <v>1856</v>
      </c>
      <c r="C328" t="str">
        <f>"Дебиторы по капитальным вложениям"</f>
        <v>Дебиторы по капитальным вложениям</v>
      </c>
      <c r="D328" t="str">
        <f>"1"</f>
        <v>1</v>
      </c>
      <c r="E328" t="str">
        <f>"7"</f>
        <v>7</v>
      </c>
      <c r="F328" t="str">
        <f>"1"</f>
        <v>1</v>
      </c>
      <c r="G328" s="2">
        <v>703083357.27999997</v>
      </c>
    </row>
    <row r="329" spans="1:7" x14ac:dyDescent="0.25">
      <c r="A329" s="1">
        <v>44651</v>
      </c>
      <c r="B329" t="str">
        <f>"1856"</f>
        <v>1856</v>
      </c>
      <c r="C329" t="str">
        <f>"Дебиторы по капитальным вложениям"</f>
        <v>Дебиторы по капитальным вложениям</v>
      </c>
      <c r="D329" t="str">
        <f>"1"</f>
        <v>1</v>
      </c>
      <c r="E329" t="str">
        <f>"9"</f>
        <v>9</v>
      </c>
      <c r="F329" t="str">
        <f>"1"</f>
        <v>1</v>
      </c>
      <c r="G329" s="2">
        <v>1518500</v>
      </c>
    </row>
    <row r="330" spans="1:7" x14ac:dyDescent="0.25">
      <c r="A330" s="1">
        <v>44651</v>
      </c>
      <c r="B330" t="str">
        <f>"1856"</f>
        <v>1856</v>
      </c>
      <c r="C330" t="str">
        <f>"Дебиторы по капитальным вложениям"</f>
        <v>Дебиторы по капитальным вложениям</v>
      </c>
      <c r="D330" t="str">
        <f>"2"</f>
        <v>2</v>
      </c>
      <c r="E330" t="str">
        <f>"7"</f>
        <v>7</v>
      </c>
      <c r="F330" t="str">
        <f>"1"</f>
        <v>1</v>
      </c>
      <c r="G330" s="2">
        <v>118372940.48</v>
      </c>
    </row>
    <row r="331" spans="1:7" x14ac:dyDescent="0.25">
      <c r="A331" s="1">
        <v>44651</v>
      </c>
      <c r="B331" t="str">
        <f t="shared" ref="B331:B338" si="64">"1860"</f>
        <v>1860</v>
      </c>
      <c r="C331" t="str">
        <f t="shared" ref="C331:C338" si="65">"Прочие дебиторы по банковской деятельности"</f>
        <v>Прочие дебиторы по банковской деятельности</v>
      </c>
      <c r="D331" t="str">
        <f t="shared" ref="D331:D346" si="66">"1"</f>
        <v>1</v>
      </c>
      <c r="E331" t="str">
        <f>"4"</f>
        <v>4</v>
      </c>
      <c r="F331" t="str">
        <f>"1"</f>
        <v>1</v>
      </c>
      <c r="G331" s="2">
        <v>4302463518.9200001</v>
      </c>
    </row>
    <row r="332" spans="1:7" x14ac:dyDescent="0.25">
      <c r="A332" s="1">
        <v>44651</v>
      </c>
      <c r="B332" t="str">
        <f t="shared" si="64"/>
        <v>1860</v>
      </c>
      <c r="C332" t="str">
        <f t="shared" si="65"/>
        <v>Прочие дебиторы по банковской деятельности</v>
      </c>
      <c r="D332" t="str">
        <f t="shared" si="66"/>
        <v>1</v>
      </c>
      <c r="E332" t="str">
        <f>"4"</f>
        <v>4</v>
      </c>
      <c r="F332" t="str">
        <f>"2"</f>
        <v>2</v>
      </c>
      <c r="G332" s="2">
        <v>351405150.38999999</v>
      </c>
    </row>
    <row r="333" spans="1:7" x14ac:dyDescent="0.25">
      <c r="A333" s="1">
        <v>44651</v>
      </c>
      <c r="B333" t="str">
        <f t="shared" si="64"/>
        <v>1860</v>
      </c>
      <c r="C333" t="str">
        <f t="shared" si="65"/>
        <v>Прочие дебиторы по банковской деятельности</v>
      </c>
      <c r="D333" t="str">
        <f t="shared" si="66"/>
        <v>1</v>
      </c>
      <c r="E333" t="str">
        <f>"4"</f>
        <v>4</v>
      </c>
      <c r="F333" t="str">
        <f>"3"</f>
        <v>3</v>
      </c>
      <c r="G333" s="2">
        <v>3734.93</v>
      </c>
    </row>
    <row r="334" spans="1:7" x14ac:dyDescent="0.25">
      <c r="A334" s="1">
        <v>44651</v>
      </c>
      <c r="B334" t="str">
        <f t="shared" si="64"/>
        <v>1860</v>
      </c>
      <c r="C334" t="str">
        <f t="shared" si="65"/>
        <v>Прочие дебиторы по банковской деятельности</v>
      </c>
      <c r="D334" t="str">
        <f t="shared" si="66"/>
        <v>1</v>
      </c>
      <c r="E334" t="str">
        <f>"5"</f>
        <v>5</v>
      </c>
      <c r="F334" t="str">
        <f>"1"</f>
        <v>1</v>
      </c>
      <c r="G334" s="2">
        <v>119621029.87</v>
      </c>
    </row>
    <row r="335" spans="1:7" x14ac:dyDescent="0.25">
      <c r="A335" s="1">
        <v>44651</v>
      </c>
      <c r="B335" t="str">
        <f t="shared" si="64"/>
        <v>1860</v>
      </c>
      <c r="C335" t="str">
        <f t="shared" si="65"/>
        <v>Прочие дебиторы по банковской деятельности</v>
      </c>
      <c r="D335" t="str">
        <f t="shared" si="66"/>
        <v>1</v>
      </c>
      <c r="E335" t="str">
        <f>"5"</f>
        <v>5</v>
      </c>
      <c r="F335" t="str">
        <f>"2"</f>
        <v>2</v>
      </c>
      <c r="G335" s="2">
        <v>9326200000</v>
      </c>
    </row>
    <row r="336" spans="1:7" x14ac:dyDescent="0.25">
      <c r="A336" s="1">
        <v>44651</v>
      </c>
      <c r="B336" t="str">
        <f t="shared" si="64"/>
        <v>1860</v>
      </c>
      <c r="C336" t="str">
        <f t="shared" si="65"/>
        <v>Прочие дебиторы по банковской деятельности</v>
      </c>
      <c r="D336" t="str">
        <f t="shared" si="66"/>
        <v>1</v>
      </c>
      <c r="E336" t="str">
        <f>"7"</f>
        <v>7</v>
      </c>
      <c r="F336" t="str">
        <f>"1"</f>
        <v>1</v>
      </c>
      <c r="G336" s="2">
        <v>1286479828.8599999</v>
      </c>
    </row>
    <row r="337" spans="1:7" x14ac:dyDescent="0.25">
      <c r="A337" s="1">
        <v>44651</v>
      </c>
      <c r="B337" t="str">
        <f t="shared" si="64"/>
        <v>1860</v>
      </c>
      <c r="C337" t="str">
        <f t="shared" si="65"/>
        <v>Прочие дебиторы по банковской деятельности</v>
      </c>
      <c r="D337" t="str">
        <f t="shared" si="66"/>
        <v>1</v>
      </c>
      <c r="E337" t="str">
        <f>"9"</f>
        <v>9</v>
      </c>
      <c r="F337" t="str">
        <f>"1"</f>
        <v>1</v>
      </c>
      <c r="G337" s="2">
        <v>2462635364.5999999</v>
      </c>
    </row>
    <row r="338" spans="1:7" x14ac:dyDescent="0.25">
      <c r="A338" s="1">
        <v>44651</v>
      </c>
      <c r="B338" t="str">
        <f t="shared" si="64"/>
        <v>1860</v>
      </c>
      <c r="C338" t="str">
        <f t="shared" si="65"/>
        <v>Прочие дебиторы по банковской деятельности</v>
      </c>
      <c r="D338" t="str">
        <f t="shared" si="66"/>
        <v>1</v>
      </c>
      <c r="E338" t="str">
        <f>"9"</f>
        <v>9</v>
      </c>
      <c r="F338" t="str">
        <f>"2"</f>
        <v>2</v>
      </c>
      <c r="G338" s="2">
        <v>606619256.28999996</v>
      </c>
    </row>
    <row r="339" spans="1:7" x14ac:dyDescent="0.25">
      <c r="A339" s="1">
        <v>44651</v>
      </c>
      <c r="B339" t="str">
        <f>"1861"</f>
        <v>1861</v>
      </c>
      <c r="C339" t="str">
        <f>"Дебиторы по гарантиям"</f>
        <v>Дебиторы по гарантиям</v>
      </c>
      <c r="D339" t="str">
        <f t="shared" si="66"/>
        <v>1</v>
      </c>
      <c r="E339" t="str">
        <f>"7"</f>
        <v>7</v>
      </c>
      <c r="F339" t="str">
        <f t="shared" ref="F339:F346" si="67">"1"</f>
        <v>1</v>
      </c>
      <c r="G339" s="2">
        <v>107735013.97</v>
      </c>
    </row>
    <row r="340" spans="1:7" x14ac:dyDescent="0.25">
      <c r="A340" s="1">
        <v>44651</v>
      </c>
      <c r="B340" t="str">
        <f t="shared" ref="B340:B351" si="68">"1867"</f>
        <v>1867</v>
      </c>
      <c r="C340" t="str">
        <f t="shared" ref="C340:C351" si="69">"Прочие дебиторы по неосновной деятельности"</f>
        <v>Прочие дебиторы по неосновной деятельности</v>
      </c>
      <c r="D340" t="str">
        <f t="shared" si="66"/>
        <v>1</v>
      </c>
      <c r="E340" t="str">
        <f>"1"</f>
        <v>1</v>
      </c>
      <c r="F340" t="str">
        <f t="shared" si="67"/>
        <v>1</v>
      </c>
      <c r="G340" s="2">
        <v>1954594.49</v>
      </c>
    </row>
    <row r="341" spans="1:7" x14ac:dyDescent="0.25">
      <c r="A341" s="1">
        <v>44651</v>
      </c>
      <c r="B341" t="str">
        <f t="shared" si="68"/>
        <v>1867</v>
      </c>
      <c r="C341" t="str">
        <f t="shared" si="69"/>
        <v>Прочие дебиторы по неосновной деятельности</v>
      </c>
      <c r="D341" t="str">
        <f t="shared" si="66"/>
        <v>1</v>
      </c>
      <c r="E341" t="str">
        <f>"3"</f>
        <v>3</v>
      </c>
      <c r="F341" t="str">
        <f t="shared" si="67"/>
        <v>1</v>
      </c>
      <c r="G341" s="2">
        <v>1384</v>
      </c>
    </row>
    <row r="342" spans="1:7" x14ac:dyDescent="0.25">
      <c r="A342" s="1">
        <v>44651</v>
      </c>
      <c r="B342" t="str">
        <f t="shared" si="68"/>
        <v>1867</v>
      </c>
      <c r="C342" t="str">
        <f t="shared" si="69"/>
        <v>Прочие дебиторы по неосновной деятельности</v>
      </c>
      <c r="D342" t="str">
        <f t="shared" si="66"/>
        <v>1</v>
      </c>
      <c r="E342" t="str">
        <f>"5"</f>
        <v>5</v>
      </c>
      <c r="F342" t="str">
        <f t="shared" si="67"/>
        <v>1</v>
      </c>
      <c r="G342" s="2">
        <v>3729313</v>
      </c>
    </row>
    <row r="343" spans="1:7" x14ac:dyDescent="0.25">
      <c r="A343" s="1">
        <v>44651</v>
      </c>
      <c r="B343" t="str">
        <f t="shared" si="68"/>
        <v>1867</v>
      </c>
      <c r="C343" t="str">
        <f t="shared" si="69"/>
        <v>Прочие дебиторы по неосновной деятельности</v>
      </c>
      <c r="D343" t="str">
        <f t="shared" si="66"/>
        <v>1</v>
      </c>
      <c r="E343" t="str">
        <f>"6"</f>
        <v>6</v>
      </c>
      <c r="F343" t="str">
        <f t="shared" si="67"/>
        <v>1</v>
      </c>
      <c r="G343" s="2">
        <v>1591504.15</v>
      </c>
    </row>
    <row r="344" spans="1:7" x14ac:dyDescent="0.25">
      <c r="A344" s="1">
        <v>44651</v>
      </c>
      <c r="B344" t="str">
        <f t="shared" si="68"/>
        <v>1867</v>
      </c>
      <c r="C344" t="str">
        <f t="shared" si="69"/>
        <v>Прочие дебиторы по неосновной деятельности</v>
      </c>
      <c r="D344" t="str">
        <f t="shared" si="66"/>
        <v>1</v>
      </c>
      <c r="E344" t="str">
        <f>"7"</f>
        <v>7</v>
      </c>
      <c r="F344" t="str">
        <f t="shared" si="67"/>
        <v>1</v>
      </c>
      <c r="G344" s="2">
        <v>20494758105.799999</v>
      </c>
    </row>
    <row r="345" spans="1:7" x14ac:dyDescent="0.25">
      <c r="A345" s="1">
        <v>44651</v>
      </c>
      <c r="B345" t="str">
        <f t="shared" si="68"/>
        <v>1867</v>
      </c>
      <c r="C345" t="str">
        <f t="shared" si="69"/>
        <v>Прочие дебиторы по неосновной деятельности</v>
      </c>
      <c r="D345" t="str">
        <f t="shared" si="66"/>
        <v>1</v>
      </c>
      <c r="E345" t="str">
        <f>"8"</f>
        <v>8</v>
      </c>
      <c r="F345" t="str">
        <f t="shared" si="67"/>
        <v>1</v>
      </c>
      <c r="G345" s="2">
        <v>5000</v>
      </c>
    </row>
    <row r="346" spans="1:7" x14ac:dyDescent="0.25">
      <c r="A346" s="1">
        <v>44651</v>
      </c>
      <c r="B346" t="str">
        <f t="shared" si="68"/>
        <v>1867</v>
      </c>
      <c r="C346" t="str">
        <f t="shared" si="69"/>
        <v>Прочие дебиторы по неосновной деятельности</v>
      </c>
      <c r="D346" t="str">
        <f t="shared" si="66"/>
        <v>1</v>
      </c>
      <c r="E346" t="str">
        <f>"9"</f>
        <v>9</v>
      </c>
      <c r="F346" t="str">
        <f t="shared" si="67"/>
        <v>1</v>
      </c>
      <c r="G346" s="2">
        <v>1601956644.1400001</v>
      </c>
    </row>
    <row r="347" spans="1:7" x14ac:dyDescent="0.25">
      <c r="A347" s="1">
        <v>44651</v>
      </c>
      <c r="B347" t="str">
        <f t="shared" si="68"/>
        <v>1867</v>
      </c>
      <c r="C347" t="str">
        <f t="shared" si="69"/>
        <v>Прочие дебиторы по неосновной деятельности</v>
      </c>
      <c r="D347" t="str">
        <f>"2"</f>
        <v>2</v>
      </c>
      <c r="E347" t="str">
        <f>"1"</f>
        <v>1</v>
      </c>
      <c r="F347" t="str">
        <f>"3"</f>
        <v>3</v>
      </c>
      <c r="G347" s="2">
        <v>17100</v>
      </c>
    </row>
    <row r="348" spans="1:7" x14ac:dyDescent="0.25">
      <c r="A348" s="1">
        <v>44651</v>
      </c>
      <c r="B348" t="str">
        <f t="shared" si="68"/>
        <v>1867</v>
      </c>
      <c r="C348" t="str">
        <f t="shared" si="69"/>
        <v>Прочие дебиторы по неосновной деятельности</v>
      </c>
      <c r="D348" t="str">
        <f>"2"</f>
        <v>2</v>
      </c>
      <c r="E348" t="str">
        <f>"4"</f>
        <v>4</v>
      </c>
      <c r="F348" t="str">
        <f>"1"</f>
        <v>1</v>
      </c>
      <c r="G348" s="2">
        <v>27253411.449999999</v>
      </c>
    </row>
    <row r="349" spans="1:7" x14ac:dyDescent="0.25">
      <c r="A349" s="1">
        <v>44651</v>
      </c>
      <c r="B349" t="str">
        <f t="shared" si="68"/>
        <v>1867</v>
      </c>
      <c r="C349" t="str">
        <f t="shared" si="69"/>
        <v>Прочие дебиторы по неосновной деятельности</v>
      </c>
      <c r="D349" t="str">
        <f>"2"</f>
        <v>2</v>
      </c>
      <c r="E349" t="str">
        <f>"7"</f>
        <v>7</v>
      </c>
      <c r="F349" t="str">
        <f>"1"</f>
        <v>1</v>
      </c>
      <c r="G349" s="2">
        <v>501640224.10000002</v>
      </c>
    </row>
    <row r="350" spans="1:7" x14ac:dyDescent="0.25">
      <c r="A350" s="1">
        <v>44651</v>
      </c>
      <c r="B350" t="str">
        <f t="shared" si="68"/>
        <v>1867</v>
      </c>
      <c r="C350" t="str">
        <f t="shared" si="69"/>
        <v>Прочие дебиторы по неосновной деятельности</v>
      </c>
      <c r="D350" t="str">
        <f>"2"</f>
        <v>2</v>
      </c>
      <c r="E350" t="str">
        <f>"7"</f>
        <v>7</v>
      </c>
      <c r="F350" t="str">
        <f>"2"</f>
        <v>2</v>
      </c>
      <c r="G350" s="2">
        <v>0</v>
      </c>
    </row>
    <row r="351" spans="1:7" x14ac:dyDescent="0.25">
      <c r="A351" s="1">
        <v>44651</v>
      </c>
      <c r="B351" t="str">
        <f t="shared" si="68"/>
        <v>1867</v>
      </c>
      <c r="C351" t="str">
        <f t="shared" si="69"/>
        <v>Прочие дебиторы по неосновной деятельности</v>
      </c>
      <c r="D351" t="str">
        <f>"2"</f>
        <v>2</v>
      </c>
      <c r="E351" t="str">
        <f>"9"</f>
        <v>9</v>
      </c>
      <c r="F351" t="str">
        <f>"1"</f>
        <v>1</v>
      </c>
      <c r="G351" s="2">
        <v>9027269.3599999994</v>
      </c>
    </row>
    <row r="352" spans="1:7" x14ac:dyDescent="0.25">
      <c r="A352" s="1">
        <v>44651</v>
      </c>
      <c r="B352" t="str">
        <f t="shared" ref="B352:B362" si="70">"1870"</f>
        <v>1870</v>
      </c>
      <c r="C352" t="str">
        <f t="shared" ref="C352:C362" si="71">"Прочие транзитные счета"</f>
        <v>Прочие транзитные счета</v>
      </c>
      <c r="D352" t="str">
        <f>"1"</f>
        <v>1</v>
      </c>
      <c r="E352" t="str">
        <f>"1"</f>
        <v>1</v>
      </c>
      <c r="F352" t="str">
        <f>"1"</f>
        <v>1</v>
      </c>
      <c r="G352" s="2">
        <v>0</v>
      </c>
    </row>
    <row r="353" spans="1:7" x14ac:dyDescent="0.25">
      <c r="A353" s="1">
        <v>44651</v>
      </c>
      <c r="B353" t="str">
        <f t="shared" si="70"/>
        <v>1870</v>
      </c>
      <c r="C353" t="str">
        <f t="shared" si="71"/>
        <v>Прочие транзитные счета</v>
      </c>
      <c r="D353" t="str">
        <f t="shared" ref="D353:D360" si="72">"1"</f>
        <v>1</v>
      </c>
      <c r="E353" t="str">
        <f>"3"</f>
        <v>3</v>
      </c>
      <c r="F353" t="str">
        <f>"1"</f>
        <v>1</v>
      </c>
      <c r="G353" s="2">
        <v>0</v>
      </c>
    </row>
    <row r="354" spans="1:7" x14ac:dyDescent="0.25">
      <c r="A354" s="1">
        <v>44651</v>
      </c>
      <c r="B354" t="str">
        <f t="shared" si="70"/>
        <v>1870</v>
      </c>
      <c r="C354" t="str">
        <f t="shared" si="71"/>
        <v>Прочие транзитные счета</v>
      </c>
      <c r="D354" t="str">
        <f t="shared" si="72"/>
        <v>1</v>
      </c>
      <c r="E354" t="str">
        <f>"4"</f>
        <v>4</v>
      </c>
      <c r="F354" t="str">
        <f>"1"</f>
        <v>1</v>
      </c>
      <c r="G354" s="2">
        <v>191780913.09999999</v>
      </c>
    </row>
    <row r="355" spans="1:7" x14ac:dyDescent="0.25">
      <c r="A355" s="1">
        <v>44651</v>
      </c>
      <c r="B355" t="str">
        <f t="shared" si="70"/>
        <v>1870</v>
      </c>
      <c r="C355" t="str">
        <f t="shared" si="71"/>
        <v>Прочие транзитные счета</v>
      </c>
      <c r="D355" t="str">
        <f t="shared" si="72"/>
        <v>1</v>
      </c>
      <c r="E355" t="str">
        <f>"4"</f>
        <v>4</v>
      </c>
      <c r="F355" t="str">
        <f>"2"</f>
        <v>2</v>
      </c>
      <c r="G355" s="2">
        <v>1183613424.1500001</v>
      </c>
    </row>
    <row r="356" spans="1:7" x14ac:dyDescent="0.25">
      <c r="A356" s="1">
        <v>44651</v>
      </c>
      <c r="B356" t="str">
        <f t="shared" si="70"/>
        <v>1870</v>
      </c>
      <c r="C356" t="str">
        <f t="shared" si="71"/>
        <v>Прочие транзитные счета</v>
      </c>
      <c r="D356" t="str">
        <f t="shared" si="72"/>
        <v>1</v>
      </c>
      <c r="E356" t="str">
        <f>"4"</f>
        <v>4</v>
      </c>
      <c r="F356" t="str">
        <f>"3"</f>
        <v>3</v>
      </c>
      <c r="G356" s="2">
        <v>4299237.9400000004</v>
      </c>
    </row>
    <row r="357" spans="1:7" x14ac:dyDescent="0.25">
      <c r="A357" s="1">
        <v>44651</v>
      </c>
      <c r="B357" t="str">
        <f t="shared" si="70"/>
        <v>1870</v>
      </c>
      <c r="C357" t="str">
        <f t="shared" si="71"/>
        <v>Прочие транзитные счета</v>
      </c>
      <c r="D357" t="str">
        <f t="shared" si="72"/>
        <v>1</v>
      </c>
      <c r="E357" t="str">
        <f>"7"</f>
        <v>7</v>
      </c>
      <c r="F357" t="str">
        <f>"1"</f>
        <v>1</v>
      </c>
      <c r="G357" s="2">
        <v>4083914.46</v>
      </c>
    </row>
    <row r="358" spans="1:7" x14ac:dyDescent="0.25">
      <c r="A358" s="1">
        <v>44651</v>
      </c>
      <c r="B358" t="str">
        <f t="shared" si="70"/>
        <v>1870</v>
      </c>
      <c r="C358" t="str">
        <f t="shared" si="71"/>
        <v>Прочие транзитные счета</v>
      </c>
      <c r="D358" t="str">
        <f t="shared" si="72"/>
        <v>1</v>
      </c>
      <c r="E358" t="str">
        <f>"9"</f>
        <v>9</v>
      </c>
      <c r="F358" t="str">
        <f>"1"</f>
        <v>1</v>
      </c>
      <c r="G358" s="2">
        <v>8084.45</v>
      </c>
    </row>
    <row r="359" spans="1:7" x14ac:dyDescent="0.25">
      <c r="A359" s="1">
        <v>44651</v>
      </c>
      <c r="B359" t="str">
        <f t="shared" si="70"/>
        <v>1870</v>
      </c>
      <c r="C359" t="str">
        <f t="shared" si="71"/>
        <v>Прочие транзитные счета</v>
      </c>
      <c r="D359" t="str">
        <f t="shared" si="72"/>
        <v>1</v>
      </c>
      <c r="E359" t="str">
        <f>"9"</f>
        <v>9</v>
      </c>
      <c r="F359" t="str">
        <f>"2"</f>
        <v>2</v>
      </c>
      <c r="G359" s="2">
        <v>0</v>
      </c>
    </row>
    <row r="360" spans="1:7" x14ac:dyDescent="0.25">
      <c r="A360" s="1">
        <v>44651</v>
      </c>
      <c r="B360" t="str">
        <f t="shared" si="70"/>
        <v>1870</v>
      </c>
      <c r="C360" t="str">
        <f t="shared" si="71"/>
        <v>Прочие транзитные счета</v>
      </c>
      <c r="D360" t="str">
        <f t="shared" si="72"/>
        <v>1</v>
      </c>
      <c r="E360" t="str">
        <f>"9"</f>
        <v>9</v>
      </c>
      <c r="F360" t="str">
        <f>"3"</f>
        <v>3</v>
      </c>
      <c r="G360" s="2">
        <v>0</v>
      </c>
    </row>
    <row r="361" spans="1:7" x14ac:dyDescent="0.25">
      <c r="A361" s="1">
        <v>44651</v>
      </c>
      <c r="B361" t="str">
        <f t="shared" si="70"/>
        <v>1870</v>
      </c>
      <c r="C361" t="str">
        <f t="shared" si="71"/>
        <v>Прочие транзитные счета</v>
      </c>
      <c r="D361" t="str">
        <f>"2"</f>
        <v>2</v>
      </c>
      <c r="E361" t="str">
        <f>"9"</f>
        <v>9</v>
      </c>
      <c r="F361" t="str">
        <f>"1"</f>
        <v>1</v>
      </c>
      <c r="G361" s="2">
        <v>0</v>
      </c>
    </row>
    <row r="362" spans="1:7" x14ac:dyDescent="0.25">
      <c r="A362" s="1">
        <v>44651</v>
      </c>
      <c r="B362" t="str">
        <f t="shared" si="70"/>
        <v>1870</v>
      </c>
      <c r="C362" t="str">
        <f t="shared" si="71"/>
        <v>Прочие транзитные счета</v>
      </c>
      <c r="D362" t="str">
        <f>"2"</f>
        <v>2</v>
      </c>
      <c r="E362" t="str">
        <f>"9"</f>
        <v>9</v>
      </c>
      <c r="F362" t="str">
        <f>"2"</f>
        <v>2</v>
      </c>
      <c r="G362" s="2">
        <v>0</v>
      </c>
    </row>
    <row r="363" spans="1:7" x14ac:dyDescent="0.25">
      <c r="A363" s="1">
        <v>44651</v>
      </c>
      <c r="B363" t="str">
        <f t="shared" ref="B363:B368" si="73">"1871"</f>
        <v>1871</v>
      </c>
      <c r="C363" t="str">
        <f t="shared" ref="C363:C368" si="74"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D363" t="str">
        <f>"1"</f>
        <v>1</v>
      </c>
      <c r="E363" t="str">
        <f>""</f>
        <v/>
      </c>
      <c r="F363" t="str">
        <f>"1"</f>
        <v>1</v>
      </c>
      <c r="G363" s="2">
        <v>0</v>
      </c>
    </row>
    <row r="364" spans="1:7" x14ac:dyDescent="0.25">
      <c r="A364" s="1">
        <v>44651</v>
      </c>
      <c r="B364" t="str">
        <f t="shared" si="73"/>
        <v>1871</v>
      </c>
      <c r="C364" t="str">
        <f t="shared" si="74"/>
        <v>Транзитные счета для переводов физических лиц без открытия счета</v>
      </c>
      <c r="D364" t="str">
        <f>"1"</f>
        <v>1</v>
      </c>
      <c r="E364" t="str">
        <f>""</f>
        <v/>
      </c>
      <c r="F364" t="str">
        <f>"2"</f>
        <v>2</v>
      </c>
      <c r="G364" s="2">
        <v>11906283.9</v>
      </c>
    </row>
    <row r="365" spans="1:7" x14ac:dyDescent="0.25">
      <c r="A365" s="1">
        <v>44651</v>
      </c>
      <c r="B365" t="str">
        <f t="shared" si="73"/>
        <v>1871</v>
      </c>
      <c r="C365" t="str">
        <f t="shared" si="74"/>
        <v>Транзитные счета для переводов физических лиц без открытия счета</v>
      </c>
      <c r="D365" t="str">
        <f>"1"</f>
        <v>1</v>
      </c>
      <c r="E365" t="str">
        <f>""</f>
        <v/>
      </c>
      <c r="F365" t="str">
        <f>"3"</f>
        <v>3</v>
      </c>
      <c r="G365" s="2">
        <v>0</v>
      </c>
    </row>
    <row r="366" spans="1:7" x14ac:dyDescent="0.25">
      <c r="A366" s="1">
        <v>44651</v>
      </c>
      <c r="B366" t="str">
        <f t="shared" si="73"/>
        <v>1871</v>
      </c>
      <c r="C366" t="str">
        <f t="shared" si="74"/>
        <v>Транзитные счета для переводов физических лиц без открытия счета</v>
      </c>
      <c r="D366" t="str">
        <f>"2"</f>
        <v>2</v>
      </c>
      <c r="E366" t="str">
        <f>""</f>
        <v/>
      </c>
      <c r="F366" t="str">
        <f>"1"</f>
        <v>1</v>
      </c>
      <c r="G366" s="2">
        <v>0</v>
      </c>
    </row>
    <row r="367" spans="1:7" x14ac:dyDescent="0.25">
      <c r="A367" s="1">
        <v>44651</v>
      </c>
      <c r="B367" t="str">
        <f t="shared" si="73"/>
        <v>1871</v>
      </c>
      <c r="C367" t="str">
        <f t="shared" si="74"/>
        <v>Транзитные счета для переводов физических лиц без открытия счета</v>
      </c>
      <c r="D367" t="str">
        <f>"2"</f>
        <v>2</v>
      </c>
      <c r="E367" t="str">
        <f>""</f>
        <v/>
      </c>
      <c r="F367" t="str">
        <f>"2"</f>
        <v>2</v>
      </c>
      <c r="G367" s="2">
        <v>5902071.6799999997</v>
      </c>
    </row>
    <row r="368" spans="1:7" x14ac:dyDescent="0.25">
      <c r="A368" s="1">
        <v>44651</v>
      </c>
      <c r="B368" t="str">
        <f t="shared" si="73"/>
        <v>1871</v>
      </c>
      <c r="C368" t="str">
        <f t="shared" si="74"/>
        <v>Транзитные счета для переводов физических лиц без открытия счета</v>
      </c>
      <c r="D368" t="str">
        <f>"2"</f>
        <v>2</v>
      </c>
      <c r="E368" t="str">
        <f>""</f>
        <v/>
      </c>
      <c r="F368" t="str">
        <f>"3"</f>
        <v>3</v>
      </c>
      <c r="G368" s="2">
        <v>0</v>
      </c>
    </row>
    <row r="369" spans="1:7" x14ac:dyDescent="0.25">
      <c r="A369" s="1">
        <v>44651</v>
      </c>
      <c r="B369" t="str">
        <f>"1876"</f>
        <v>1876</v>
      </c>
      <c r="C369" t="str">
        <f>"Резервы (провизии) по прочей банковской деятельности"</f>
        <v>Резервы (провизии) по прочей банковской деятельности</v>
      </c>
      <c r="D369" t="str">
        <f t="shared" ref="D369:D376" si="75">"1"</f>
        <v>1</v>
      </c>
      <c r="E369" t="str">
        <f>"7"</f>
        <v>7</v>
      </c>
      <c r="F369" t="str">
        <f>"1"</f>
        <v>1</v>
      </c>
      <c r="G369" s="2">
        <v>-17722137.02</v>
      </c>
    </row>
    <row r="370" spans="1:7" x14ac:dyDescent="0.25">
      <c r="A370" s="1">
        <v>44651</v>
      </c>
      <c r="B370" t="str">
        <f>"1876"</f>
        <v>1876</v>
      </c>
      <c r="C370" t="str">
        <f>"Резервы (провизии) по прочей банковской деятельности"</f>
        <v>Резервы (провизии) по прочей банковской деятельности</v>
      </c>
      <c r="D370" t="str">
        <f t="shared" si="75"/>
        <v>1</v>
      </c>
      <c r="E370" t="str">
        <f>"7"</f>
        <v>7</v>
      </c>
      <c r="F370" t="str">
        <f>"2"</f>
        <v>2</v>
      </c>
      <c r="G370" s="2">
        <v>-1579357.28</v>
      </c>
    </row>
    <row r="371" spans="1:7" x14ac:dyDescent="0.25">
      <c r="A371" s="1">
        <v>44651</v>
      </c>
      <c r="B371" t="str">
        <f>"1876"</f>
        <v>1876</v>
      </c>
      <c r="C371" t="str">
        <f>"Резервы (провизии) по прочей банковской деятельности"</f>
        <v>Резервы (провизии) по прочей банковской деятельности</v>
      </c>
      <c r="D371" t="str">
        <f t="shared" si="75"/>
        <v>1</v>
      </c>
      <c r="E371" t="str">
        <f>"9"</f>
        <v>9</v>
      </c>
      <c r="F371" t="str">
        <f>"1"</f>
        <v>1</v>
      </c>
      <c r="G371" s="2">
        <v>-300</v>
      </c>
    </row>
    <row r="372" spans="1:7" x14ac:dyDescent="0.25">
      <c r="A372" s="1">
        <v>44651</v>
      </c>
      <c r="B372" t="str">
        <f t="shared" ref="B372:B377" si="76">"1877"</f>
        <v>1877</v>
      </c>
      <c r="C372" t="str">
        <f t="shared" ref="C372:C377" si="77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D372" t="str">
        <f t="shared" si="75"/>
        <v>1</v>
      </c>
      <c r="E372" t="str">
        <f>"4"</f>
        <v>4</v>
      </c>
      <c r="F372" t="str">
        <f>"1"</f>
        <v>1</v>
      </c>
      <c r="G372" s="2">
        <v>-74955540</v>
      </c>
    </row>
    <row r="373" spans="1:7" x14ac:dyDescent="0.25">
      <c r="A373" s="1">
        <v>44651</v>
      </c>
      <c r="B373" t="str">
        <f t="shared" si="76"/>
        <v>1877</v>
      </c>
      <c r="C373" t="str">
        <f t="shared" si="77"/>
        <v>Резервы (провизии) по дебиторской задолженности, связанной с банковской деятельностью</v>
      </c>
      <c r="D373" t="str">
        <f t="shared" si="75"/>
        <v>1</v>
      </c>
      <c r="E373" t="str">
        <f>"4"</f>
        <v>4</v>
      </c>
      <c r="F373" t="str">
        <f>"2"</f>
        <v>2</v>
      </c>
      <c r="G373" s="2">
        <v>-40910234.579999998</v>
      </c>
    </row>
    <row r="374" spans="1:7" x14ac:dyDescent="0.25">
      <c r="A374" s="1">
        <v>44651</v>
      </c>
      <c r="B374" t="str">
        <f t="shared" si="76"/>
        <v>1877</v>
      </c>
      <c r="C374" t="str">
        <f t="shared" si="77"/>
        <v>Резервы (провизии) по дебиторской задолженности, связанной с банковской деятельностью</v>
      </c>
      <c r="D374" t="str">
        <f t="shared" si="75"/>
        <v>1</v>
      </c>
      <c r="E374" t="str">
        <f>"7"</f>
        <v>7</v>
      </c>
      <c r="F374" t="str">
        <f>"1"</f>
        <v>1</v>
      </c>
      <c r="G374" s="2">
        <v>-175189966.34</v>
      </c>
    </row>
    <row r="375" spans="1:7" x14ac:dyDescent="0.25">
      <c r="A375" s="1">
        <v>44651</v>
      </c>
      <c r="B375" t="str">
        <f t="shared" si="76"/>
        <v>1877</v>
      </c>
      <c r="C375" t="str">
        <f t="shared" si="77"/>
        <v>Резервы (провизии) по дебиторской задолженности, связанной с банковской деятельностью</v>
      </c>
      <c r="D375" t="str">
        <f t="shared" si="75"/>
        <v>1</v>
      </c>
      <c r="E375" t="str">
        <f>"9"</f>
        <v>9</v>
      </c>
      <c r="F375" t="str">
        <f>"1"</f>
        <v>1</v>
      </c>
      <c r="G375" s="2">
        <v>-516998734.67000002</v>
      </c>
    </row>
    <row r="376" spans="1:7" x14ac:dyDescent="0.25">
      <c r="A376" s="1">
        <v>44651</v>
      </c>
      <c r="B376" t="str">
        <f t="shared" si="76"/>
        <v>1877</v>
      </c>
      <c r="C376" t="str">
        <f t="shared" si="77"/>
        <v>Резервы (провизии) по дебиторской задолженности, связанной с банковской деятельностью</v>
      </c>
      <c r="D376" t="str">
        <f t="shared" si="75"/>
        <v>1</v>
      </c>
      <c r="E376" t="str">
        <f>"9"</f>
        <v>9</v>
      </c>
      <c r="F376" t="str">
        <f>"2"</f>
        <v>2</v>
      </c>
      <c r="G376" s="2">
        <v>-606619256.28999996</v>
      </c>
    </row>
    <row r="377" spans="1:7" x14ac:dyDescent="0.25">
      <c r="A377" s="1">
        <v>44651</v>
      </c>
      <c r="B377" t="str">
        <f t="shared" si="76"/>
        <v>1877</v>
      </c>
      <c r="C377" t="str">
        <f t="shared" si="77"/>
        <v>Резервы (провизии) по дебиторской задолженности, связанной с банковской деятельностью</v>
      </c>
      <c r="D377" t="str">
        <f>"2"</f>
        <v>2</v>
      </c>
      <c r="E377" t="str">
        <f>"4"</f>
        <v>4</v>
      </c>
      <c r="F377" t="str">
        <f>"2"</f>
        <v>2</v>
      </c>
      <c r="G377" s="2">
        <v>0</v>
      </c>
    </row>
    <row r="378" spans="1:7" x14ac:dyDescent="0.25">
      <c r="A378" s="1">
        <v>44651</v>
      </c>
      <c r="B378" t="str">
        <f>"1878"</f>
        <v>1878</v>
      </c>
      <c r="C378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378" t="str">
        <f>"1"</f>
        <v>1</v>
      </c>
      <c r="E378" t="str">
        <f>"7"</f>
        <v>7</v>
      </c>
      <c r="F378" t="str">
        <f>"1"</f>
        <v>1</v>
      </c>
      <c r="G378" s="2">
        <v>-35392053.219999999</v>
      </c>
    </row>
    <row r="379" spans="1:7" x14ac:dyDescent="0.25">
      <c r="A379" s="1">
        <v>44651</v>
      </c>
      <c r="B379" t="str">
        <f>"1878"</f>
        <v>1878</v>
      </c>
      <c r="C37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379" t="str">
        <f>"1"</f>
        <v>1</v>
      </c>
      <c r="E379" t="str">
        <f>"9"</f>
        <v>9</v>
      </c>
      <c r="F379" t="str">
        <f>"1"</f>
        <v>1</v>
      </c>
      <c r="G379" s="2">
        <v>-999999.34</v>
      </c>
    </row>
    <row r="380" spans="1:7" x14ac:dyDescent="0.25">
      <c r="A380" s="1">
        <v>44651</v>
      </c>
      <c r="B380" t="str">
        <f>"1878"</f>
        <v>1878</v>
      </c>
      <c r="C380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380" t="str">
        <f>"2"</f>
        <v>2</v>
      </c>
      <c r="E380" t="str">
        <f>"7"</f>
        <v>7</v>
      </c>
      <c r="F380" t="str">
        <f>"1"</f>
        <v>1</v>
      </c>
      <c r="G380" s="2">
        <v>-9027269.3599999994</v>
      </c>
    </row>
    <row r="381" spans="1:7" x14ac:dyDescent="0.25">
      <c r="A381" s="1">
        <v>44651</v>
      </c>
      <c r="B381" t="str">
        <f>"1879"</f>
        <v>1879</v>
      </c>
      <c r="C381" t="str">
        <f>"Начисленная неустойка (штраф, пеня)"</f>
        <v>Начисленная неустойка (штраф, пеня)</v>
      </c>
      <c r="D381" t="str">
        <f>"1"</f>
        <v>1</v>
      </c>
      <c r="E381" t="str">
        <f>"7"</f>
        <v>7</v>
      </c>
      <c r="F381" t="str">
        <f>"1"</f>
        <v>1</v>
      </c>
      <c r="G381" s="2">
        <v>0</v>
      </c>
    </row>
    <row r="382" spans="1:7" x14ac:dyDescent="0.25">
      <c r="A382" s="1">
        <v>44651</v>
      </c>
      <c r="B382" t="str">
        <f>"1879"</f>
        <v>1879</v>
      </c>
      <c r="C382" t="str">
        <f>"Начисленная неустойка (штраф, пеня)"</f>
        <v>Начисленная неустойка (штраф, пеня)</v>
      </c>
      <c r="D382" t="str">
        <f>"1"</f>
        <v>1</v>
      </c>
      <c r="E382" t="str">
        <f>"7"</f>
        <v>7</v>
      </c>
      <c r="F382" t="str">
        <f>"2"</f>
        <v>2</v>
      </c>
      <c r="G382" s="2">
        <v>0</v>
      </c>
    </row>
    <row r="383" spans="1:7" x14ac:dyDescent="0.25">
      <c r="A383" s="1">
        <v>44651</v>
      </c>
      <c r="B383" t="str">
        <f>"1879"</f>
        <v>1879</v>
      </c>
      <c r="C383" t="str">
        <f>"Начисленная неустойка (штраф, пеня)"</f>
        <v>Начисленная неустойка (штраф, пеня)</v>
      </c>
      <c r="D383" t="str">
        <f>"1"</f>
        <v>1</v>
      </c>
      <c r="E383" t="str">
        <f>"9"</f>
        <v>9</v>
      </c>
      <c r="F383" t="str">
        <f>"1"</f>
        <v>1</v>
      </c>
      <c r="G383" s="2">
        <v>2813780.02</v>
      </c>
    </row>
    <row r="384" spans="1:7" x14ac:dyDescent="0.25">
      <c r="A384" s="1">
        <v>44651</v>
      </c>
      <c r="B384" t="str">
        <f>"1879"</f>
        <v>1879</v>
      </c>
      <c r="C384" t="str">
        <f>"Начисленная неустойка (штраф, пеня)"</f>
        <v>Начисленная неустойка (штраф, пеня)</v>
      </c>
      <c r="D384" t="str">
        <f>"1"</f>
        <v>1</v>
      </c>
      <c r="E384" t="str">
        <f>"9"</f>
        <v>9</v>
      </c>
      <c r="F384" t="str">
        <f>"2"</f>
        <v>2</v>
      </c>
      <c r="G384" s="2">
        <v>590623.57999999996</v>
      </c>
    </row>
    <row r="385" spans="1:7" x14ac:dyDescent="0.25">
      <c r="A385" s="1">
        <v>44651</v>
      </c>
      <c r="B385" t="str">
        <f>"1892"</f>
        <v>1892</v>
      </c>
      <c r="C385" t="str">
        <f>"Требования по операциям форвард"</f>
        <v>Требования по операциям форвард</v>
      </c>
      <c r="D385" t="str">
        <f>"2"</f>
        <v>2</v>
      </c>
      <c r="E385" t="str">
        <f>"4"</f>
        <v>4</v>
      </c>
      <c r="F385" t="str">
        <f>"1"</f>
        <v>1</v>
      </c>
      <c r="G385" s="2">
        <v>233241301.40000001</v>
      </c>
    </row>
    <row r="386" spans="1:7" x14ac:dyDescent="0.25">
      <c r="A386" s="1">
        <v>44651</v>
      </c>
      <c r="B386" t="str">
        <f t="shared" ref="B386:B391" si="78">"1894"</f>
        <v>1894</v>
      </c>
      <c r="C386" t="str">
        <f t="shared" ref="C386:C391" si="79">"Требования по операциям спот"</f>
        <v>Требования по операциям спот</v>
      </c>
      <c r="D386" t="str">
        <f>"1"</f>
        <v>1</v>
      </c>
      <c r="E386" t="str">
        <f>"4"</f>
        <v>4</v>
      </c>
      <c r="F386" t="str">
        <f>"2"</f>
        <v>2</v>
      </c>
      <c r="G386" s="2">
        <v>1398930000</v>
      </c>
    </row>
    <row r="387" spans="1:7" x14ac:dyDescent="0.25">
      <c r="A387" s="1">
        <v>44651</v>
      </c>
      <c r="B387" t="str">
        <f t="shared" si="78"/>
        <v>1894</v>
      </c>
      <c r="C387" t="str">
        <f t="shared" si="79"/>
        <v>Требования по операциям спот</v>
      </c>
      <c r="D387" t="str">
        <f>"1"</f>
        <v>1</v>
      </c>
      <c r="E387" t="str">
        <f>"5"</f>
        <v>5</v>
      </c>
      <c r="F387" t="str">
        <f>"1"</f>
        <v>1</v>
      </c>
      <c r="G387" s="2">
        <v>1163737000</v>
      </c>
    </row>
    <row r="388" spans="1:7" x14ac:dyDescent="0.25">
      <c r="A388" s="1">
        <v>44651</v>
      </c>
      <c r="B388" t="str">
        <f t="shared" si="78"/>
        <v>1894</v>
      </c>
      <c r="C388" t="str">
        <f t="shared" si="79"/>
        <v>Требования по операциям спот</v>
      </c>
      <c r="D388" t="str">
        <f>"1"</f>
        <v>1</v>
      </c>
      <c r="E388" t="str">
        <f>"5"</f>
        <v>5</v>
      </c>
      <c r="F388" t="str">
        <f>"2"</f>
        <v>2</v>
      </c>
      <c r="G388" s="2">
        <v>10118927000</v>
      </c>
    </row>
    <row r="389" spans="1:7" x14ac:dyDescent="0.25">
      <c r="A389" s="1">
        <v>44651</v>
      </c>
      <c r="B389" t="str">
        <f t="shared" si="78"/>
        <v>1894</v>
      </c>
      <c r="C389" t="str">
        <f t="shared" si="79"/>
        <v>Требования по операциям спот</v>
      </c>
      <c r="D389" t="str">
        <f>"2"</f>
        <v>2</v>
      </c>
      <c r="E389" t="str">
        <f>"4"</f>
        <v>4</v>
      </c>
      <c r="F389" t="str">
        <f>"1"</f>
        <v>1</v>
      </c>
      <c r="G389" s="2">
        <v>0</v>
      </c>
    </row>
    <row r="390" spans="1:7" x14ac:dyDescent="0.25">
      <c r="A390" s="1">
        <v>44651</v>
      </c>
      <c r="B390" t="str">
        <f t="shared" si="78"/>
        <v>1894</v>
      </c>
      <c r="C390" t="str">
        <f t="shared" si="79"/>
        <v>Требования по операциям спот</v>
      </c>
      <c r="D390" t="str">
        <f>"2"</f>
        <v>2</v>
      </c>
      <c r="E390" t="str">
        <f>"4"</f>
        <v>4</v>
      </c>
      <c r="F390" t="str">
        <f>"2"</f>
        <v>2</v>
      </c>
      <c r="G390" s="2">
        <v>1167687000</v>
      </c>
    </row>
    <row r="391" spans="1:7" x14ac:dyDescent="0.25">
      <c r="A391" s="1">
        <v>44651</v>
      </c>
      <c r="B391" t="str">
        <f t="shared" si="78"/>
        <v>1894</v>
      </c>
      <c r="C391" t="str">
        <f t="shared" si="79"/>
        <v>Требования по операциям спот</v>
      </c>
      <c r="D391" t="str">
        <f>"2"</f>
        <v>2</v>
      </c>
      <c r="E391" t="str">
        <f>"4"</f>
        <v>4</v>
      </c>
      <c r="F391" t="str">
        <f>"3"</f>
        <v>3</v>
      </c>
      <c r="G391" s="2">
        <v>379898160</v>
      </c>
    </row>
    <row r="392" spans="1:7" x14ac:dyDescent="0.25">
      <c r="A392" s="1">
        <v>44651</v>
      </c>
      <c r="B392" t="str">
        <f>"1895"</f>
        <v>1895</v>
      </c>
      <c r="C392" t="str">
        <f>"Требования по операциям своп"</f>
        <v>Требования по операциям своп</v>
      </c>
      <c r="D392" t="str">
        <f>"1"</f>
        <v>1</v>
      </c>
      <c r="E392" t="str">
        <f>"5"</f>
        <v>5</v>
      </c>
      <c r="F392" t="str">
        <f>"1"</f>
        <v>1</v>
      </c>
      <c r="G392" s="2">
        <v>13247085683.18</v>
      </c>
    </row>
    <row r="393" spans="1:7" x14ac:dyDescent="0.25">
      <c r="A393" s="1">
        <v>44651</v>
      </c>
      <c r="B393" t="str">
        <f>"1895"</f>
        <v>1895</v>
      </c>
      <c r="C393" t="str">
        <f>"Требования по операциям своп"</f>
        <v>Требования по операциям своп</v>
      </c>
      <c r="D393" t="str">
        <f>"1"</f>
        <v>1</v>
      </c>
      <c r="E393" t="str">
        <f>"5"</f>
        <v>5</v>
      </c>
      <c r="F393" t="str">
        <f>"2"</f>
        <v>2</v>
      </c>
      <c r="G393" s="2">
        <v>0</v>
      </c>
    </row>
    <row r="394" spans="1:7" x14ac:dyDescent="0.25">
      <c r="A394" s="1">
        <v>44651</v>
      </c>
      <c r="B394" t="str">
        <f>"2013"</f>
        <v>2013</v>
      </c>
      <c r="C394" t="str">
        <f>"Корреспондентские счета других банков"</f>
        <v>Корреспондентские счета других банков</v>
      </c>
      <c r="D394" t="str">
        <f>"1"</f>
        <v>1</v>
      </c>
      <c r="E394" t="str">
        <f>"4"</f>
        <v>4</v>
      </c>
      <c r="F394" t="str">
        <f>"1"</f>
        <v>1</v>
      </c>
      <c r="G394" s="2">
        <v>0</v>
      </c>
    </row>
    <row r="395" spans="1:7" x14ac:dyDescent="0.25">
      <c r="A395" s="1">
        <v>44651</v>
      </c>
      <c r="B395" t="str">
        <f>"2013"</f>
        <v>2013</v>
      </c>
      <c r="C395" t="str">
        <f>"Корреспондентские счета других банков"</f>
        <v>Корреспондентские счета других банков</v>
      </c>
      <c r="D395" t="str">
        <f>"2"</f>
        <v>2</v>
      </c>
      <c r="E395" t="str">
        <f>"4"</f>
        <v>4</v>
      </c>
      <c r="F395" t="str">
        <f>"1"</f>
        <v>1</v>
      </c>
      <c r="G395" s="2">
        <v>3066.37</v>
      </c>
    </row>
    <row r="396" spans="1:7" x14ac:dyDescent="0.25">
      <c r="A396" s="1">
        <v>44651</v>
      </c>
      <c r="B396" t="str">
        <f>"2013"</f>
        <v>2013</v>
      </c>
      <c r="C396" t="str">
        <f>"Корреспондентские счета других банков"</f>
        <v>Корреспондентские счета других банков</v>
      </c>
      <c r="D396" t="str">
        <f>"2"</f>
        <v>2</v>
      </c>
      <c r="E396" t="str">
        <f>"4"</f>
        <v>4</v>
      </c>
      <c r="F396" t="str">
        <f>"2"</f>
        <v>2</v>
      </c>
      <c r="G396" s="2">
        <v>106327143.53</v>
      </c>
    </row>
    <row r="397" spans="1:7" x14ac:dyDescent="0.25">
      <c r="A397" s="1">
        <v>44651</v>
      </c>
      <c r="B397" t="str">
        <f>"2041"</f>
        <v>2041</v>
      </c>
      <c r="C397" t="str">
        <f>"Дисконт по займам, полученным от международных финансовых организаций"</f>
        <v>Дисконт по займам, полученным от международных финансовых организаций</v>
      </c>
      <c r="D397" t="str">
        <f>"2"</f>
        <v>2</v>
      </c>
      <c r="E397" t="str">
        <f>""</f>
        <v/>
      </c>
      <c r="F397" t="str">
        <f t="shared" ref="F397:F404" si="80">"1"</f>
        <v>1</v>
      </c>
      <c r="G397" s="2">
        <v>-91955468.230000004</v>
      </c>
    </row>
    <row r="398" spans="1:7" x14ac:dyDescent="0.25">
      <c r="A398" s="1">
        <v>44651</v>
      </c>
      <c r="B398" t="str">
        <f>"2046"</f>
        <v>2046</v>
      </c>
      <c r="C398" t="str">
        <f>"Долгосрочные займы, полученные от международных финансовых организаций"</f>
        <v>Долгосрочные займы, полученные от международных финансовых организаций</v>
      </c>
      <c r="D398" t="str">
        <f>"2"</f>
        <v>2</v>
      </c>
      <c r="E398" t="str">
        <f>""</f>
        <v/>
      </c>
      <c r="F398" t="str">
        <f t="shared" si="80"/>
        <v>1</v>
      </c>
      <c r="G398" s="2">
        <v>22589400000</v>
      </c>
    </row>
    <row r="399" spans="1:7" x14ac:dyDescent="0.25">
      <c r="A399" s="1">
        <v>44651</v>
      </c>
      <c r="B399" t="str">
        <f>"2051"</f>
        <v>2051</v>
      </c>
      <c r="C399" t="str">
        <f>"Займы, полученные от Национального Банка Республики Казахстан"</f>
        <v>Займы, полученные от Национального Банка Республики Казахстан</v>
      </c>
      <c r="D399" t="str">
        <f t="shared" ref="D399:D415" si="81">"1"</f>
        <v>1</v>
      </c>
      <c r="E399" t="str">
        <f>"3"</f>
        <v>3</v>
      </c>
      <c r="F399" t="str">
        <f t="shared" si="80"/>
        <v>1</v>
      </c>
      <c r="G399" s="2">
        <v>5937274</v>
      </c>
    </row>
    <row r="400" spans="1:7" x14ac:dyDescent="0.25">
      <c r="A400" s="1">
        <v>44651</v>
      </c>
      <c r="B400" t="str">
        <f>"2056"</f>
        <v>2056</v>
      </c>
      <c r="C400" t="str">
        <f>"Долгосрочные займы, полученные от других банков"</f>
        <v>Долгосрочные займы, полученные от других банков</v>
      </c>
      <c r="D400" t="str">
        <f t="shared" si="81"/>
        <v>1</v>
      </c>
      <c r="E400" t="str">
        <f>"4"</f>
        <v>4</v>
      </c>
      <c r="F400" t="str">
        <f t="shared" si="80"/>
        <v>1</v>
      </c>
      <c r="G400" s="2">
        <v>16799971343.09</v>
      </c>
    </row>
    <row r="401" spans="1:7" x14ac:dyDescent="0.25">
      <c r="A401" s="1">
        <v>44651</v>
      </c>
      <c r="B401" t="str">
        <f>"2066"</f>
        <v>2066</v>
      </c>
      <c r="C401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D401" t="str">
        <f t="shared" si="81"/>
        <v>1</v>
      </c>
      <c r="E401" t="str">
        <f>"5"</f>
        <v>5</v>
      </c>
      <c r="F401" t="str">
        <f t="shared" si="80"/>
        <v>1</v>
      </c>
      <c r="G401" s="2">
        <v>32387925557.580002</v>
      </c>
    </row>
    <row r="402" spans="1:7" x14ac:dyDescent="0.25">
      <c r="A402" s="1">
        <v>44651</v>
      </c>
      <c r="B402" t="str">
        <f t="shared" ref="B402:B423" si="82">"2203"</f>
        <v>2203</v>
      </c>
      <c r="C402" t="str">
        <f t="shared" ref="C402:C423" si="83">"Текущие счета юридических лиц"</f>
        <v>Текущие счета юридических лиц</v>
      </c>
      <c r="D402" t="str">
        <f t="shared" si="81"/>
        <v>1</v>
      </c>
      <c r="E402" t="str">
        <f>"1"</f>
        <v>1</v>
      </c>
      <c r="F402" t="str">
        <f t="shared" si="80"/>
        <v>1</v>
      </c>
      <c r="G402" s="2">
        <v>940585885.87</v>
      </c>
    </row>
    <row r="403" spans="1:7" x14ac:dyDescent="0.25">
      <c r="A403" s="1">
        <v>44651</v>
      </c>
      <c r="B403" t="str">
        <f t="shared" si="82"/>
        <v>2203</v>
      </c>
      <c r="C403" t="str">
        <f t="shared" si="83"/>
        <v>Текущие счета юридических лиц</v>
      </c>
      <c r="D403" t="str">
        <f t="shared" si="81"/>
        <v>1</v>
      </c>
      <c r="E403" t="str">
        <f>"2"</f>
        <v>2</v>
      </c>
      <c r="F403" t="str">
        <f t="shared" si="80"/>
        <v>1</v>
      </c>
      <c r="G403" s="2">
        <v>187349807.58000001</v>
      </c>
    </row>
    <row r="404" spans="1:7" x14ac:dyDescent="0.25">
      <c r="A404" s="1">
        <v>44651</v>
      </c>
      <c r="B404" t="str">
        <f t="shared" si="82"/>
        <v>2203</v>
      </c>
      <c r="C404" t="str">
        <f t="shared" si="83"/>
        <v>Текущие счета юридических лиц</v>
      </c>
      <c r="D404" t="str">
        <f t="shared" si="81"/>
        <v>1</v>
      </c>
      <c r="E404" t="str">
        <f>"5"</f>
        <v>5</v>
      </c>
      <c r="F404" t="str">
        <f t="shared" si="80"/>
        <v>1</v>
      </c>
      <c r="G404" s="2">
        <v>17558006662.560001</v>
      </c>
    </row>
    <row r="405" spans="1:7" x14ac:dyDescent="0.25">
      <c r="A405" s="1">
        <v>44651</v>
      </c>
      <c r="B405" t="str">
        <f t="shared" si="82"/>
        <v>2203</v>
      </c>
      <c r="C405" t="str">
        <f t="shared" si="83"/>
        <v>Текущие счета юридических лиц</v>
      </c>
      <c r="D405" t="str">
        <f t="shared" si="81"/>
        <v>1</v>
      </c>
      <c r="E405" t="str">
        <f>"5"</f>
        <v>5</v>
      </c>
      <c r="F405" t="str">
        <f>"2"</f>
        <v>2</v>
      </c>
      <c r="G405" s="2">
        <v>3759205780.6599998</v>
      </c>
    </row>
    <row r="406" spans="1:7" x14ac:dyDescent="0.25">
      <c r="A406" s="1">
        <v>44651</v>
      </c>
      <c r="B406" t="str">
        <f t="shared" si="82"/>
        <v>2203</v>
      </c>
      <c r="C406" t="str">
        <f t="shared" si="83"/>
        <v>Текущие счета юридических лиц</v>
      </c>
      <c r="D406" t="str">
        <f t="shared" si="81"/>
        <v>1</v>
      </c>
      <c r="E406" t="str">
        <f>"5"</f>
        <v>5</v>
      </c>
      <c r="F406" t="str">
        <f>"3"</f>
        <v>3</v>
      </c>
      <c r="G406" s="2">
        <v>4472021.0199999996</v>
      </c>
    </row>
    <row r="407" spans="1:7" x14ac:dyDescent="0.25">
      <c r="A407" s="1">
        <v>44651</v>
      </c>
      <c r="B407" t="str">
        <f t="shared" si="82"/>
        <v>2203</v>
      </c>
      <c r="C407" t="str">
        <f t="shared" si="83"/>
        <v>Текущие счета юридических лиц</v>
      </c>
      <c r="D407" t="str">
        <f t="shared" si="81"/>
        <v>1</v>
      </c>
      <c r="E407" t="str">
        <f>"6"</f>
        <v>6</v>
      </c>
      <c r="F407" t="str">
        <f>"1"</f>
        <v>1</v>
      </c>
      <c r="G407" s="2">
        <v>47077579959.669998</v>
      </c>
    </row>
    <row r="408" spans="1:7" x14ac:dyDescent="0.25">
      <c r="A408" s="1">
        <v>44651</v>
      </c>
      <c r="B408" t="str">
        <f t="shared" si="82"/>
        <v>2203</v>
      </c>
      <c r="C408" t="str">
        <f t="shared" si="83"/>
        <v>Текущие счета юридических лиц</v>
      </c>
      <c r="D408" t="str">
        <f t="shared" si="81"/>
        <v>1</v>
      </c>
      <c r="E408" t="str">
        <f>"6"</f>
        <v>6</v>
      </c>
      <c r="F408" t="str">
        <f>"2"</f>
        <v>2</v>
      </c>
      <c r="G408" s="2">
        <v>14482891569.889999</v>
      </c>
    </row>
    <row r="409" spans="1:7" x14ac:dyDescent="0.25">
      <c r="A409" s="1">
        <v>44651</v>
      </c>
      <c r="B409" t="str">
        <f t="shared" si="82"/>
        <v>2203</v>
      </c>
      <c r="C409" t="str">
        <f t="shared" si="83"/>
        <v>Текущие счета юридических лиц</v>
      </c>
      <c r="D409" t="str">
        <f t="shared" si="81"/>
        <v>1</v>
      </c>
      <c r="E409" t="str">
        <f>"6"</f>
        <v>6</v>
      </c>
      <c r="F409" t="str">
        <f>"3"</f>
        <v>3</v>
      </c>
      <c r="G409" s="2">
        <v>144219316.41999999</v>
      </c>
    </row>
    <row r="410" spans="1:7" x14ac:dyDescent="0.25">
      <c r="A410" s="1">
        <v>44651</v>
      </c>
      <c r="B410" t="str">
        <f t="shared" si="82"/>
        <v>2203</v>
      </c>
      <c r="C410" t="str">
        <f t="shared" si="83"/>
        <v>Текущие счета юридических лиц</v>
      </c>
      <c r="D410" t="str">
        <f t="shared" si="81"/>
        <v>1</v>
      </c>
      <c r="E410" t="str">
        <f>"7"</f>
        <v>7</v>
      </c>
      <c r="F410" t="str">
        <f>"1"</f>
        <v>1</v>
      </c>
      <c r="G410" s="2">
        <v>214300646397.03</v>
      </c>
    </row>
    <row r="411" spans="1:7" x14ac:dyDescent="0.25">
      <c r="A411" s="1">
        <v>44651</v>
      </c>
      <c r="B411" t="str">
        <f t="shared" si="82"/>
        <v>2203</v>
      </c>
      <c r="C411" t="str">
        <f t="shared" si="83"/>
        <v>Текущие счета юридических лиц</v>
      </c>
      <c r="D411" t="str">
        <f t="shared" si="81"/>
        <v>1</v>
      </c>
      <c r="E411" t="str">
        <f>"7"</f>
        <v>7</v>
      </c>
      <c r="F411" t="str">
        <f>"2"</f>
        <v>2</v>
      </c>
      <c r="G411" s="2">
        <v>243229757318.28</v>
      </c>
    </row>
    <row r="412" spans="1:7" x14ac:dyDescent="0.25">
      <c r="A412" s="1">
        <v>44651</v>
      </c>
      <c r="B412" t="str">
        <f t="shared" si="82"/>
        <v>2203</v>
      </c>
      <c r="C412" t="str">
        <f t="shared" si="83"/>
        <v>Текущие счета юридических лиц</v>
      </c>
      <c r="D412" t="str">
        <f t="shared" si="81"/>
        <v>1</v>
      </c>
      <c r="E412" t="str">
        <f>"7"</f>
        <v>7</v>
      </c>
      <c r="F412" t="str">
        <f>"3"</f>
        <v>3</v>
      </c>
      <c r="G412" s="2">
        <v>6922432833.9799995</v>
      </c>
    </row>
    <row r="413" spans="1:7" x14ac:dyDescent="0.25">
      <c r="A413" s="1">
        <v>44651</v>
      </c>
      <c r="B413" t="str">
        <f t="shared" si="82"/>
        <v>2203</v>
      </c>
      <c r="C413" t="str">
        <f t="shared" si="83"/>
        <v>Текущие счета юридических лиц</v>
      </c>
      <c r="D413" t="str">
        <f t="shared" si="81"/>
        <v>1</v>
      </c>
      <c r="E413" t="str">
        <f>"8"</f>
        <v>8</v>
      </c>
      <c r="F413" t="str">
        <f>"1"</f>
        <v>1</v>
      </c>
      <c r="G413" s="2">
        <v>10657869959</v>
      </c>
    </row>
    <row r="414" spans="1:7" x14ac:dyDescent="0.25">
      <c r="A414" s="1">
        <v>44651</v>
      </c>
      <c r="B414" t="str">
        <f t="shared" si="82"/>
        <v>2203</v>
      </c>
      <c r="C414" t="str">
        <f t="shared" si="83"/>
        <v>Текущие счета юридических лиц</v>
      </c>
      <c r="D414" t="str">
        <f t="shared" si="81"/>
        <v>1</v>
      </c>
      <c r="E414" t="str">
        <f>"8"</f>
        <v>8</v>
      </c>
      <c r="F414" t="str">
        <f>"2"</f>
        <v>2</v>
      </c>
      <c r="G414" s="2">
        <v>17401149365.619999</v>
      </c>
    </row>
    <row r="415" spans="1:7" x14ac:dyDescent="0.25">
      <c r="A415" s="1">
        <v>44651</v>
      </c>
      <c r="B415" t="str">
        <f t="shared" si="82"/>
        <v>2203</v>
      </c>
      <c r="C415" t="str">
        <f t="shared" si="83"/>
        <v>Текущие счета юридических лиц</v>
      </c>
      <c r="D415" t="str">
        <f t="shared" si="81"/>
        <v>1</v>
      </c>
      <c r="E415" t="str">
        <f>"8"</f>
        <v>8</v>
      </c>
      <c r="F415" t="str">
        <f>"3"</f>
        <v>3</v>
      </c>
      <c r="G415" s="2">
        <v>13594603.42</v>
      </c>
    </row>
    <row r="416" spans="1:7" x14ac:dyDescent="0.25">
      <c r="A416" s="1">
        <v>44651</v>
      </c>
      <c r="B416" t="str">
        <f t="shared" si="82"/>
        <v>2203</v>
      </c>
      <c r="C416" t="str">
        <f t="shared" si="83"/>
        <v>Текущие счета юридических лиц</v>
      </c>
      <c r="D416" t="str">
        <f t="shared" ref="D416:D423" si="84">"2"</f>
        <v>2</v>
      </c>
      <c r="E416" t="str">
        <f>"1"</f>
        <v>1</v>
      </c>
      <c r="F416" t="str">
        <f>"1"</f>
        <v>1</v>
      </c>
      <c r="G416" s="2">
        <v>43069212.509999998</v>
      </c>
    </row>
    <row r="417" spans="1:7" x14ac:dyDescent="0.25">
      <c r="A417" s="1">
        <v>44651</v>
      </c>
      <c r="B417" t="str">
        <f t="shared" si="82"/>
        <v>2203</v>
      </c>
      <c r="C417" t="str">
        <f t="shared" si="83"/>
        <v>Текущие счета юридических лиц</v>
      </c>
      <c r="D417" t="str">
        <f t="shared" si="84"/>
        <v>2</v>
      </c>
      <c r="E417" t="str">
        <f>"1"</f>
        <v>1</v>
      </c>
      <c r="F417" t="str">
        <f>"2"</f>
        <v>2</v>
      </c>
      <c r="G417" s="2">
        <v>129562418.40000001</v>
      </c>
    </row>
    <row r="418" spans="1:7" x14ac:dyDescent="0.25">
      <c r="A418" s="1">
        <v>44651</v>
      </c>
      <c r="B418" t="str">
        <f t="shared" si="82"/>
        <v>2203</v>
      </c>
      <c r="C418" t="str">
        <f t="shared" si="83"/>
        <v>Текущие счета юридических лиц</v>
      </c>
      <c r="D418" t="str">
        <f t="shared" si="84"/>
        <v>2</v>
      </c>
      <c r="E418" t="str">
        <f>"5"</f>
        <v>5</v>
      </c>
      <c r="F418" t="str">
        <f>"2"</f>
        <v>2</v>
      </c>
      <c r="G418" s="2">
        <v>2811.85</v>
      </c>
    </row>
    <row r="419" spans="1:7" x14ac:dyDescent="0.25">
      <c r="A419" s="1">
        <v>44651</v>
      </c>
      <c r="B419" t="str">
        <f t="shared" si="82"/>
        <v>2203</v>
      </c>
      <c r="C419" t="str">
        <f t="shared" si="83"/>
        <v>Текущие счета юридических лиц</v>
      </c>
      <c r="D419" t="str">
        <f t="shared" si="84"/>
        <v>2</v>
      </c>
      <c r="E419" t="str">
        <f>"7"</f>
        <v>7</v>
      </c>
      <c r="F419" t="str">
        <f>"1"</f>
        <v>1</v>
      </c>
      <c r="G419" s="2">
        <v>3753036109.0500002</v>
      </c>
    </row>
    <row r="420" spans="1:7" x14ac:dyDescent="0.25">
      <c r="A420" s="1">
        <v>44651</v>
      </c>
      <c r="B420" t="str">
        <f t="shared" si="82"/>
        <v>2203</v>
      </c>
      <c r="C420" t="str">
        <f t="shared" si="83"/>
        <v>Текущие счета юридических лиц</v>
      </c>
      <c r="D420" t="str">
        <f t="shared" si="84"/>
        <v>2</v>
      </c>
      <c r="E420" t="str">
        <f>"7"</f>
        <v>7</v>
      </c>
      <c r="F420" t="str">
        <f>"2"</f>
        <v>2</v>
      </c>
      <c r="G420" s="2">
        <v>6631381526.4499998</v>
      </c>
    </row>
    <row r="421" spans="1:7" x14ac:dyDescent="0.25">
      <c r="A421" s="1">
        <v>44651</v>
      </c>
      <c r="B421" t="str">
        <f t="shared" si="82"/>
        <v>2203</v>
      </c>
      <c r="C421" t="str">
        <f t="shared" si="83"/>
        <v>Текущие счета юридических лиц</v>
      </c>
      <c r="D421" t="str">
        <f t="shared" si="84"/>
        <v>2</v>
      </c>
      <c r="E421" t="str">
        <f>"7"</f>
        <v>7</v>
      </c>
      <c r="F421" t="str">
        <f>"3"</f>
        <v>3</v>
      </c>
      <c r="G421" s="2">
        <v>211601875.94</v>
      </c>
    </row>
    <row r="422" spans="1:7" x14ac:dyDescent="0.25">
      <c r="A422" s="1">
        <v>44651</v>
      </c>
      <c r="B422" t="str">
        <f t="shared" si="82"/>
        <v>2203</v>
      </c>
      <c r="C422" t="str">
        <f t="shared" si="83"/>
        <v>Текущие счета юридических лиц</v>
      </c>
      <c r="D422" t="str">
        <f t="shared" si="84"/>
        <v>2</v>
      </c>
      <c r="E422" t="str">
        <f>"8"</f>
        <v>8</v>
      </c>
      <c r="F422" t="str">
        <f>"1"</f>
        <v>1</v>
      </c>
      <c r="G422" s="2">
        <v>7225430.0899999999</v>
      </c>
    </row>
    <row r="423" spans="1:7" x14ac:dyDescent="0.25">
      <c r="A423" s="1">
        <v>44651</v>
      </c>
      <c r="B423" t="str">
        <f t="shared" si="82"/>
        <v>2203</v>
      </c>
      <c r="C423" t="str">
        <f t="shared" si="83"/>
        <v>Текущие счета юридических лиц</v>
      </c>
      <c r="D423" t="str">
        <f t="shared" si="84"/>
        <v>2</v>
      </c>
      <c r="E423" t="str">
        <f>"8"</f>
        <v>8</v>
      </c>
      <c r="F423" t="str">
        <f>"2"</f>
        <v>2</v>
      </c>
      <c r="G423" s="2">
        <v>119677980.59999999</v>
      </c>
    </row>
    <row r="424" spans="1:7" x14ac:dyDescent="0.25">
      <c r="A424" s="1">
        <v>44651</v>
      </c>
      <c r="B424" t="str">
        <f t="shared" ref="B424:B429" si="85">"2204"</f>
        <v>2204</v>
      </c>
      <c r="C424" t="str">
        <f t="shared" ref="C424:C429" si="86">"Текущие счета физических лиц"</f>
        <v>Текущие счета физических лиц</v>
      </c>
      <c r="D424" t="str">
        <f>"1"</f>
        <v>1</v>
      </c>
      <c r="E424" t="str">
        <f t="shared" ref="E424:E447" si="87">"9"</f>
        <v>9</v>
      </c>
      <c r="F424" t="str">
        <f>"1"</f>
        <v>1</v>
      </c>
      <c r="G424" s="2">
        <v>75546959464.449997</v>
      </c>
    </row>
    <row r="425" spans="1:7" x14ac:dyDescent="0.25">
      <c r="A425" s="1">
        <v>44651</v>
      </c>
      <c r="B425" t="str">
        <f t="shared" si="85"/>
        <v>2204</v>
      </c>
      <c r="C425" t="str">
        <f t="shared" si="86"/>
        <v>Текущие счета физических лиц</v>
      </c>
      <c r="D425" t="str">
        <f>"1"</f>
        <v>1</v>
      </c>
      <c r="E425" t="str">
        <f t="shared" si="87"/>
        <v>9</v>
      </c>
      <c r="F425" t="str">
        <f>"2"</f>
        <v>2</v>
      </c>
      <c r="G425" s="2">
        <v>43351772566.269997</v>
      </c>
    </row>
    <row r="426" spans="1:7" x14ac:dyDescent="0.25">
      <c r="A426" s="1">
        <v>44651</v>
      </c>
      <c r="B426" t="str">
        <f t="shared" si="85"/>
        <v>2204</v>
      </c>
      <c r="C426" t="str">
        <f t="shared" si="86"/>
        <v>Текущие счета физических лиц</v>
      </c>
      <c r="D426" t="str">
        <f>"1"</f>
        <v>1</v>
      </c>
      <c r="E426" t="str">
        <f t="shared" si="87"/>
        <v>9</v>
      </c>
      <c r="F426" t="str">
        <f>"3"</f>
        <v>3</v>
      </c>
      <c r="G426" s="2">
        <v>1226696943.21</v>
      </c>
    </row>
    <row r="427" spans="1:7" x14ac:dyDescent="0.25">
      <c r="A427" s="1">
        <v>44651</v>
      </c>
      <c r="B427" t="str">
        <f t="shared" si="85"/>
        <v>2204</v>
      </c>
      <c r="C427" t="str">
        <f t="shared" si="86"/>
        <v>Текущие счета физических лиц</v>
      </c>
      <c r="D427" t="str">
        <f>"2"</f>
        <v>2</v>
      </c>
      <c r="E427" t="str">
        <f t="shared" si="87"/>
        <v>9</v>
      </c>
      <c r="F427" t="str">
        <f>"1"</f>
        <v>1</v>
      </c>
      <c r="G427" s="2">
        <v>1676564898.5699999</v>
      </c>
    </row>
    <row r="428" spans="1:7" x14ac:dyDescent="0.25">
      <c r="A428" s="1">
        <v>44651</v>
      </c>
      <c r="B428" t="str">
        <f t="shared" si="85"/>
        <v>2204</v>
      </c>
      <c r="C428" t="str">
        <f t="shared" si="86"/>
        <v>Текущие счета физических лиц</v>
      </c>
      <c r="D428" t="str">
        <f>"2"</f>
        <v>2</v>
      </c>
      <c r="E428" t="str">
        <f t="shared" si="87"/>
        <v>9</v>
      </c>
      <c r="F428" t="str">
        <f>"2"</f>
        <v>2</v>
      </c>
      <c r="G428" s="2">
        <v>5015856311.0699997</v>
      </c>
    </row>
    <row r="429" spans="1:7" x14ac:dyDescent="0.25">
      <c r="A429" s="1">
        <v>44651</v>
      </c>
      <c r="B429" t="str">
        <f t="shared" si="85"/>
        <v>2204</v>
      </c>
      <c r="C429" t="str">
        <f t="shared" si="86"/>
        <v>Текущие счета физических лиц</v>
      </c>
      <c r="D429" t="str">
        <f>"2"</f>
        <v>2</v>
      </c>
      <c r="E429" t="str">
        <f t="shared" si="87"/>
        <v>9</v>
      </c>
      <c r="F429" t="str">
        <f>"3"</f>
        <v>3</v>
      </c>
      <c r="G429" s="2">
        <v>102891902.40000001</v>
      </c>
    </row>
    <row r="430" spans="1:7" x14ac:dyDescent="0.25">
      <c r="A430" s="1">
        <v>44651</v>
      </c>
      <c r="B430" t="str">
        <f>"2205"</f>
        <v>2205</v>
      </c>
      <c r="C430" t="str">
        <f>"Вклады до востребования физических лиц"</f>
        <v>Вклады до востребования физических лиц</v>
      </c>
      <c r="D430" t="str">
        <f>"1"</f>
        <v>1</v>
      </c>
      <c r="E430" t="str">
        <f t="shared" si="87"/>
        <v>9</v>
      </c>
      <c r="F430" t="str">
        <f>"1"</f>
        <v>1</v>
      </c>
      <c r="G430" s="2">
        <v>2907738.77</v>
      </c>
    </row>
    <row r="431" spans="1:7" x14ac:dyDescent="0.25">
      <c r="A431" s="1">
        <v>44651</v>
      </c>
      <c r="B431" t="str">
        <f>"2205"</f>
        <v>2205</v>
      </c>
      <c r="C431" t="str">
        <f>"Вклады до востребования физических лиц"</f>
        <v>Вклады до востребования физических лиц</v>
      </c>
      <c r="D431" t="str">
        <f>"1"</f>
        <v>1</v>
      </c>
      <c r="E431" t="str">
        <f t="shared" si="87"/>
        <v>9</v>
      </c>
      <c r="F431" t="str">
        <f>"2"</f>
        <v>2</v>
      </c>
      <c r="G431" s="2">
        <v>3563313.55</v>
      </c>
    </row>
    <row r="432" spans="1:7" x14ac:dyDescent="0.25">
      <c r="A432" s="1">
        <v>44651</v>
      </c>
      <c r="B432" t="str">
        <f>"2205"</f>
        <v>2205</v>
      </c>
      <c r="C432" t="str">
        <f>"Вклады до востребования физических лиц"</f>
        <v>Вклады до востребования физических лиц</v>
      </c>
      <c r="D432" t="str">
        <f>"1"</f>
        <v>1</v>
      </c>
      <c r="E432" t="str">
        <f t="shared" si="87"/>
        <v>9</v>
      </c>
      <c r="F432" t="str">
        <f>"3"</f>
        <v>3</v>
      </c>
      <c r="G432" s="2">
        <v>1734.29</v>
      </c>
    </row>
    <row r="433" spans="1:7" x14ac:dyDescent="0.25">
      <c r="A433" s="1">
        <v>44651</v>
      </c>
      <c r="B433" t="str">
        <f>"2205"</f>
        <v>2205</v>
      </c>
      <c r="C433" t="str">
        <f>"Вклады до востребования физических лиц"</f>
        <v>Вклады до востребования физических лиц</v>
      </c>
      <c r="D433" t="str">
        <f>"2"</f>
        <v>2</v>
      </c>
      <c r="E433" t="str">
        <f t="shared" si="87"/>
        <v>9</v>
      </c>
      <c r="F433" t="str">
        <f>"1"</f>
        <v>1</v>
      </c>
      <c r="G433" s="2">
        <v>130290</v>
      </c>
    </row>
    <row r="434" spans="1:7" x14ac:dyDescent="0.25">
      <c r="A434" s="1">
        <v>44651</v>
      </c>
      <c r="B434" t="str">
        <f>"2205"</f>
        <v>2205</v>
      </c>
      <c r="C434" t="str">
        <f>"Вклады до востребования физических лиц"</f>
        <v>Вклады до востребования физических лиц</v>
      </c>
      <c r="D434" t="str">
        <f>"2"</f>
        <v>2</v>
      </c>
      <c r="E434" t="str">
        <f t="shared" si="87"/>
        <v>9</v>
      </c>
      <c r="F434" t="str">
        <f>"2"</f>
        <v>2</v>
      </c>
      <c r="G434" s="2">
        <v>4787534.83</v>
      </c>
    </row>
    <row r="435" spans="1:7" x14ac:dyDescent="0.25">
      <c r="A435" s="1">
        <v>44651</v>
      </c>
      <c r="B435" t="str">
        <f>"2206"</f>
        <v>2206</v>
      </c>
      <c r="C435" t="str">
        <f>"Краткосрочные вклады физических лиц"</f>
        <v>Краткосрочные вклады физических лиц</v>
      </c>
      <c r="D435" t="str">
        <f>"1"</f>
        <v>1</v>
      </c>
      <c r="E435" t="str">
        <f t="shared" si="87"/>
        <v>9</v>
      </c>
      <c r="F435" t="str">
        <f>"1"</f>
        <v>1</v>
      </c>
      <c r="G435" s="2">
        <v>116043185682.17999</v>
      </c>
    </row>
    <row r="436" spans="1:7" x14ac:dyDescent="0.25">
      <c r="A436" s="1">
        <v>44651</v>
      </c>
      <c r="B436" t="str">
        <f>"2206"</f>
        <v>2206</v>
      </c>
      <c r="C436" t="str">
        <f>"Краткосрочные вклады физических лиц"</f>
        <v>Краткосрочные вклады физических лиц</v>
      </c>
      <c r="D436" t="str">
        <f>"1"</f>
        <v>1</v>
      </c>
      <c r="E436" t="str">
        <f t="shared" si="87"/>
        <v>9</v>
      </c>
      <c r="F436" t="str">
        <f>"2"</f>
        <v>2</v>
      </c>
      <c r="G436" s="2">
        <v>133472312604.10001</v>
      </c>
    </row>
    <row r="437" spans="1:7" x14ac:dyDescent="0.25">
      <c r="A437" s="1">
        <v>44651</v>
      </c>
      <c r="B437" t="str">
        <f>"2206"</f>
        <v>2206</v>
      </c>
      <c r="C437" t="str">
        <f>"Краткосрочные вклады физических лиц"</f>
        <v>Краткосрочные вклады физических лиц</v>
      </c>
      <c r="D437" t="str">
        <f>"1"</f>
        <v>1</v>
      </c>
      <c r="E437" t="str">
        <f t="shared" si="87"/>
        <v>9</v>
      </c>
      <c r="F437" t="str">
        <f>"3"</f>
        <v>3</v>
      </c>
      <c r="G437" s="2">
        <v>50047.199999999997</v>
      </c>
    </row>
    <row r="438" spans="1:7" x14ac:dyDescent="0.25">
      <c r="A438" s="1">
        <v>44651</v>
      </c>
      <c r="B438" t="str">
        <f>"2206"</f>
        <v>2206</v>
      </c>
      <c r="C438" t="str">
        <f>"Краткосрочные вклады физических лиц"</f>
        <v>Краткосрочные вклады физических лиц</v>
      </c>
      <c r="D438" t="str">
        <f>"2"</f>
        <v>2</v>
      </c>
      <c r="E438" t="str">
        <f t="shared" si="87"/>
        <v>9</v>
      </c>
      <c r="F438" t="str">
        <f>"1"</f>
        <v>1</v>
      </c>
      <c r="G438" s="2">
        <v>899607997.59000003</v>
      </c>
    </row>
    <row r="439" spans="1:7" x14ac:dyDescent="0.25">
      <c r="A439" s="1">
        <v>44651</v>
      </c>
      <c r="B439" t="str">
        <f>"2206"</f>
        <v>2206</v>
      </c>
      <c r="C439" t="str">
        <f>"Краткосрочные вклады физических лиц"</f>
        <v>Краткосрочные вклады физических лиц</v>
      </c>
      <c r="D439" t="str">
        <f>"2"</f>
        <v>2</v>
      </c>
      <c r="E439" t="str">
        <f t="shared" si="87"/>
        <v>9</v>
      </c>
      <c r="F439" t="str">
        <f>"2"</f>
        <v>2</v>
      </c>
      <c r="G439" s="2">
        <v>1990761893.01</v>
      </c>
    </row>
    <row r="440" spans="1:7" x14ac:dyDescent="0.25">
      <c r="A440" s="1">
        <v>44651</v>
      </c>
      <c r="B440" t="str">
        <f t="shared" ref="B440:B445" si="88">"2207"</f>
        <v>2207</v>
      </c>
      <c r="C440" t="str">
        <f t="shared" ref="C440:C445" si="89">"Долгосрочные вклады физических лиц"</f>
        <v>Долгосрочные вклады физических лиц</v>
      </c>
      <c r="D440" t="str">
        <f>"1"</f>
        <v>1</v>
      </c>
      <c r="E440" t="str">
        <f t="shared" si="87"/>
        <v>9</v>
      </c>
      <c r="F440" t="str">
        <f>"1"</f>
        <v>1</v>
      </c>
      <c r="G440" s="2">
        <v>22892248322.98</v>
      </c>
    </row>
    <row r="441" spans="1:7" x14ac:dyDescent="0.25">
      <c r="A441" s="1">
        <v>44651</v>
      </c>
      <c r="B441" t="str">
        <f t="shared" si="88"/>
        <v>2207</v>
      </c>
      <c r="C441" t="str">
        <f t="shared" si="89"/>
        <v>Долгосрочные вклады физических лиц</v>
      </c>
      <c r="D441" t="str">
        <f>"1"</f>
        <v>1</v>
      </c>
      <c r="E441" t="str">
        <f t="shared" si="87"/>
        <v>9</v>
      </c>
      <c r="F441" t="str">
        <f>"2"</f>
        <v>2</v>
      </c>
      <c r="G441" s="2">
        <v>170309356868.01999</v>
      </c>
    </row>
    <row r="442" spans="1:7" x14ac:dyDescent="0.25">
      <c r="A442" s="1">
        <v>44651</v>
      </c>
      <c r="B442" t="str">
        <f t="shared" si="88"/>
        <v>2207</v>
      </c>
      <c r="C442" t="str">
        <f t="shared" si="89"/>
        <v>Долгосрочные вклады физических лиц</v>
      </c>
      <c r="D442" t="str">
        <f>"1"</f>
        <v>1</v>
      </c>
      <c r="E442" t="str">
        <f t="shared" si="87"/>
        <v>9</v>
      </c>
      <c r="F442" t="str">
        <f>"3"</f>
        <v>3</v>
      </c>
      <c r="G442" s="2">
        <v>18914.080000000002</v>
      </c>
    </row>
    <row r="443" spans="1:7" x14ac:dyDescent="0.25">
      <c r="A443" s="1">
        <v>44651</v>
      </c>
      <c r="B443" t="str">
        <f t="shared" si="88"/>
        <v>2207</v>
      </c>
      <c r="C443" t="str">
        <f t="shared" si="89"/>
        <v>Долгосрочные вклады физических лиц</v>
      </c>
      <c r="D443" t="str">
        <f>"2"</f>
        <v>2</v>
      </c>
      <c r="E443" t="str">
        <f t="shared" si="87"/>
        <v>9</v>
      </c>
      <c r="F443" t="str">
        <f>"1"</f>
        <v>1</v>
      </c>
      <c r="G443" s="2">
        <v>221818452.27000001</v>
      </c>
    </row>
    <row r="444" spans="1:7" x14ac:dyDescent="0.25">
      <c r="A444" s="1">
        <v>44651</v>
      </c>
      <c r="B444" t="str">
        <f t="shared" si="88"/>
        <v>2207</v>
      </c>
      <c r="C444" t="str">
        <f t="shared" si="89"/>
        <v>Долгосрочные вклады физических лиц</v>
      </c>
      <c r="D444" t="str">
        <f>"2"</f>
        <v>2</v>
      </c>
      <c r="E444" t="str">
        <f t="shared" si="87"/>
        <v>9</v>
      </c>
      <c r="F444" t="str">
        <f>"2"</f>
        <v>2</v>
      </c>
      <c r="G444" s="2">
        <v>1317434781.3299999</v>
      </c>
    </row>
    <row r="445" spans="1:7" x14ac:dyDescent="0.25">
      <c r="A445" s="1">
        <v>44651</v>
      </c>
      <c r="B445" t="str">
        <f t="shared" si="88"/>
        <v>2207</v>
      </c>
      <c r="C445" t="str">
        <f t="shared" si="89"/>
        <v>Долгосрочные вклады физических лиц</v>
      </c>
      <c r="D445" t="str">
        <f>"2"</f>
        <v>2</v>
      </c>
      <c r="E445" t="str">
        <f t="shared" si="87"/>
        <v>9</v>
      </c>
      <c r="F445" t="str">
        <f>"3"</f>
        <v>3</v>
      </c>
      <c r="G445" s="2">
        <v>3.93</v>
      </c>
    </row>
    <row r="446" spans="1:7" x14ac:dyDescent="0.25">
      <c r="A446" s="1">
        <v>44651</v>
      </c>
      <c r="B446" t="str">
        <f>"2208"</f>
        <v>2208</v>
      </c>
      <c r="C446" t="str">
        <f>"Условные вклады физических лиц"</f>
        <v>Условные вклады физических лиц</v>
      </c>
      <c r="D446" t="str">
        <f>"1"</f>
        <v>1</v>
      </c>
      <c r="E446" t="str">
        <f t="shared" si="87"/>
        <v>9</v>
      </c>
      <c r="F446" t="str">
        <f>"1"</f>
        <v>1</v>
      </c>
      <c r="G446" s="2">
        <v>173919216.47</v>
      </c>
    </row>
    <row r="447" spans="1:7" x14ac:dyDescent="0.25">
      <c r="A447" s="1">
        <v>44651</v>
      </c>
      <c r="B447" t="str">
        <f>"2208"</f>
        <v>2208</v>
      </c>
      <c r="C447" t="str">
        <f>"Условные вклады физических лиц"</f>
        <v>Условные вклады физических лиц</v>
      </c>
      <c r="D447" t="str">
        <f>"2"</f>
        <v>2</v>
      </c>
      <c r="E447" t="str">
        <f t="shared" si="87"/>
        <v>9</v>
      </c>
      <c r="F447" t="str">
        <f>"1"</f>
        <v>1</v>
      </c>
      <c r="G447" s="2">
        <v>250692.65</v>
      </c>
    </row>
    <row r="448" spans="1:7" x14ac:dyDescent="0.25">
      <c r="A448" s="1">
        <v>44651</v>
      </c>
      <c r="B448" t="str">
        <f>"2211"</f>
        <v>2211</v>
      </c>
      <c r="C448" t="str">
        <f>"Вклады до востребования юридических лиц"</f>
        <v>Вклады до востребования юридических лиц</v>
      </c>
      <c r="D448" t="str">
        <f>"1"</f>
        <v>1</v>
      </c>
      <c r="E448" t="str">
        <f>"7"</f>
        <v>7</v>
      </c>
      <c r="F448" t="str">
        <f>"1"</f>
        <v>1</v>
      </c>
      <c r="G448" s="2">
        <v>116684903</v>
      </c>
    </row>
    <row r="449" spans="1:7" x14ac:dyDescent="0.25">
      <c r="A449" s="1">
        <v>44651</v>
      </c>
      <c r="B449" t="str">
        <f>"2213"</f>
        <v>2213</v>
      </c>
      <c r="C449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D449" t="str">
        <f>"1"</f>
        <v>1</v>
      </c>
      <c r="E449" t="str">
        <f>"9"</f>
        <v>9</v>
      </c>
      <c r="F449" t="str">
        <f>"1"</f>
        <v>1</v>
      </c>
      <c r="G449" s="2">
        <v>6912693719.9399996</v>
      </c>
    </row>
    <row r="450" spans="1:7" x14ac:dyDescent="0.25">
      <c r="A450" s="1">
        <v>44651</v>
      </c>
      <c r="B450" t="str">
        <f>"2213"</f>
        <v>2213</v>
      </c>
      <c r="C450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D450" t="str">
        <f>"1"</f>
        <v>1</v>
      </c>
      <c r="E450" t="str">
        <f>"9"</f>
        <v>9</v>
      </c>
      <c r="F450" t="str">
        <f>"2"</f>
        <v>2</v>
      </c>
      <c r="G450" s="2">
        <v>8282419907.9899998</v>
      </c>
    </row>
    <row r="451" spans="1:7" x14ac:dyDescent="0.25">
      <c r="A451" s="1">
        <v>44651</v>
      </c>
      <c r="B451" t="str">
        <f>"2213"</f>
        <v>2213</v>
      </c>
      <c r="C451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D451" t="str">
        <f>"2"</f>
        <v>2</v>
      </c>
      <c r="E451" t="str">
        <f>"9"</f>
        <v>9</v>
      </c>
      <c r="F451" t="str">
        <f>"2"</f>
        <v>2</v>
      </c>
      <c r="G451" s="2">
        <v>12310584</v>
      </c>
    </row>
    <row r="452" spans="1:7" x14ac:dyDescent="0.25">
      <c r="A452" s="1">
        <v>44651</v>
      </c>
      <c r="B452" t="str">
        <f>"2214"</f>
        <v>2214</v>
      </c>
      <c r="C452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D452" t="str">
        <f>"1"</f>
        <v>1</v>
      </c>
      <c r="E452" t="str">
        <f>"9"</f>
        <v>9</v>
      </c>
      <c r="F452" t="str">
        <f>"1"</f>
        <v>1</v>
      </c>
      <c r="G452" s="2">
        <v>31527421376.77</v>
      </c>
    </row>
    <row r="453" spans="1:7" x14ac:dyDescent="0.25">
      <c r="A453" s="1">
        <v>44651</v>
      </c>
      <c r="B453" t="str">
        <f>"2214"</f>
        <v>2214</v>
      </c>
      <c r="C453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D453" t="str">
        <f>"2"</f>
        <v>2</v>
      </c>
      <c r="E453" t="str">
        <f>"9"</f>
        <v>9</v>
      </c>
      <c r="F453" t="str">
        <f>"1"</f>
        <v>1</v>
      </c>
      <c r="G453" s="2">
        <v>91015413.819999993</v>
      </c>
    </row>
    <row r="454" spans="1:7" x14ac:dyDescent="0.25">
      <c r="A454" s="1">
        <v>44651</v>
      </c>
      <c r="B454" t="str">
        <f t="shared" ref="B454:B462" si="90">"2215"</f>
        <v>2215</v>
      </c>
      <c r="C454" t="str">
        <f t="shared" ref="C454:C462" si="91">"Краткосрочные вклады юридических лиц"</f>
        <v>Краткосрочные вклады юридических лиц</v>
      </c>
      <c r="D454" t="str">
        <f t="shared" ref="D454:D461" si="92">"1"</f>
        <v>1</v>
      </c>
      <c r="E454" t="str">
        <f>"5"</f>
        <v>5</v>
      </c>
      <c r="F454" t="str">
        <f>"1"</f>
        <v>1</v>
      </c>
      <c r="G454" s="2">
        <v>7598423872.6999998</v>
      </c>
    </row>
    <row r="455" spans="1:7" x14ac:dyDescent="0.25">
      <c r="A455" s="1">
        <v>44651</v>
      </c>
      <c r="B455" t="str">
        <f t="shared" si="90"/>
        <v>2215</v>
      </c>
      <c r="C455" t="str">
        <f t="shared" si="91"/>
        <v>Краткосрочные вклады юридических лиц</v>
      </c>
      <c r="D455" t="str">
        <f t="shared" si="92"/>
        <v>1</v>
      </c>
      <c r="E455" t="str">
        <f>"5"</f>
        <v>5</v>
      </c>
      <c r="F455" t="str">
        <f>"2"</f>
        <v>2</v>
      </c>
      <c r="G455" s="2">
        <v>15023878.68</v>
      </c>
    </row>
    <row r="456" spans="1:7" x14ac:dyDescent="0.25">
      <c r="A456" s="1">
        <v>44651</v>
      </c>
      <c r="B456" t="str">
        <f t="shared" si="90"/>
        <v>2215</v>
      </c>
      <c r="C456" t="str">
        <f t="shared" si="91"/>
        <v>Краткосрочные вклады юридических лиц</v>
      </c>
      <c r="D456" t="str">
        <f t="shared" si="92"/>
        <v>1</v>
      </c>
      <c r="E456" t="str">
        <f>"6"</f>
        <v>6</v>
      </c>
      <c r="F456" t="str">
        <f>"1"</f>
        <v>1</v>
      </c>
      <c r="G456" s="2">
        <v>93211903017.520004</v>
      </c>
    </row>
    <row r="457" spans="1:7" x14ac:dyDescent="0.25">
      <c r="A457" s="1">
        <v>44651</v>
      </c>
      <c r="B457" t="str">
        <f t="shared" si="90"/>
        <v>2215</v>
      </c>
      <c r="C457" t="str">
        <f t="shared" si="91"/>
        <v>Краткосрочные вклады юридических лиц</v>
      </c>
      <c r="D457" t="str">
        <f t="shared" si="92"/>
        <v>1</v>
      </c>
      <c r="E457" t="str">
        <f>"6"</f>
        <v>6</v>
      </c>
      <c r="F457" t="str">
        <f>"2"</f>
        <v>2</v>
      </c>
      <c r="G457" s="2">
        <v>13377802059.280001</v>
      </c>
    </row>
    <row r="458" spans="1:7" x14ac:dyDescent="0.25">
      <c r="A458" s="1">
        <v>44651</v>
      </c>
      <c r="B458" t="str">
        <f t="shared" si="90"/>
        <v>2215</v>
      </c>
      <c r="C458" t="str">
        <f t="shared" si="91"/>
        <v>Краткосрочные вклады юридических лиц</v>
      </c>
      <c r="D458" t="str">
        <f t="shared" si="92"/>
        <v>1</v>
      </c>
      <c r="E458" t="str">
        <f>"7"</f>
        <v>7</v>
      </c>
      <c r="F458" t="str">
        <f>"1"</f>
        <v>1</v>
      </c>
      <c r="G458" s="2">
        <v>331448593384.21997</v>
      </c>
    </row>
    <row r="459" spans="1:7" x14ac:dyDescent="0.25">
      <c r="A459" s="1">
        <v>44651</v>
      </c>
      <c r="B459" t="str">
        <f t="shared" si="90"/>
        <v>2215</v>
      </c>
      <c r="C459" t="str">
        <f t="shared" si="91"/>
        <v>Краткосрочные вклады юридических лиц</v>
      </c>
      <c r="D459" t="str">
        <f t="shared" si="92"/>
        <v>1</v>
      </c>
      <c r="E459" t="str">
        <f>"7"</f>
        <v>7</v>
      </c>
      <c r="F459" t="str">
        <f>"2"</f>
        <v>2</v>
      </c>
      <c r="G459" s="2">
        <v>51974562051.449997</v>
      </c>
    </row>
    <row r="460" spans="1:7" x14ac:dyDescent="0.25">
      <c r="A460" s="1">
        <v>44651</v>
      </c>
      <c r="B460" t="str">
        <f t="shared" si="90"/>
        <v>2215</v>
      </c>
      <c r="C460" t="str">
        <f t="shared" si="91"/>
        <v>Краткосрочные вклады юридических лиц</v>
      </c>
      <c r="D460" t="str">
        <f t="shared" si="92"/>
        <v>1</v>
      </c>
      <c r="E460" t="str">
        <f>"8"</f>
        <v>8</v>
      </c>
      <c r="F460" t="str">
        <f>"1"</f>
        <v>1</v>
      </c>
      <c r="G460" s="2">
        <v>45435032362.699997</v>
      </c>
    </row>
    <row r="461" spans="1:7" x14ac:dyDescent="0.25">
      <c r="A461" s="1">
        <v>44651</v>
      </c>
      <c r="B461" t="str">
        <f t="shared" si="90"/>
        <v>2215</v>
      </c>
      <c r="C461" t="str">
        <f t="shared" si="91"/>
        <v>Краткосрочные вклады юридических лиц</v>
      </c>
      <c r="D461" t="str">
        <f t="shared" si="92"/>
        <v>1</v>
      </c>
      <c r="E461" t="str">
        <f>"8"</f>
        <v>8</v>
      </c>
      <c r="F461" t="str">
        <f>"2"</f>
        <v>2</v>
      </c>
      <c r="G461" s="2">
        <v>33657280470.66</v>
      </c>
    </row>
    <row r="462" spans="1:7" x14ac:dyDescent="0.25">
      <c r="A462" s="1">
        <v>44651</v>
      </c>
      <c r="B462" t="str">
        <f t="shared" si="90"/>
        <v>2215</v>
      </c>
      <c r="C462" t="str">
        <f t="shared" si="91"/>
        <v>Краткосрочные вклады юридических лиц</v>
      </c>
      <c r="D462" t="str">
        <f>"2"</f>
        <v>2</v>
      </c>
      <c r="E462" t="str">
        <f>"7"</f>
        <v>7</v>
      </c>
      <c r="F462" t="str">
        <f>"1"</f>
        <v>1</v>
      </c>
      <c r="G462" s="2">
        <v>1762000000</v>
      </c>
    </row>
    <row r="463" spans="1:7" x14ac:dyDescent="0.25">
      <c r="A463" s="1">
        <v>44651</v>
      </c>
      <c r="B463" t="str">
        <f>"2217"</f>
        <v>2217</v>
      </c>
      <c r="C463" t="str">
        <f>"Долгосрочные вклады юридических лиц"</f>
        <v>Долгосрочные вклады юридических лиц</v>
      </c>
      <c r="D463" t="str">
        <f>"1"</f>
        <v>1</v>
      </c>
      <c r="E463" t="str">
        <f>"5"</f>
        <v>5</v>
      </c>
      <c r="F463" t="str">
        <f>"1"</f>
        <v>1</v>
      </c>
      <c r="G463" s="2">
        <v>132048272387.49001</v>
      </c>
    </row>
    <row r="464" spans="1:7" x14ac:dyDescent="0.25">
      <c r="A464" s="1">
        <v>44651</v>
      </c>
      <c r="B464" t="str">
        <f>"2217"</f>
        <v>2217</v>
      </c>
      <c r="C464" t="str">
        <f>"Долгосрочные вклады юридических лиц"</f>
        <v>Долгосрочные вклады юридических лиц</v>
      </c>
      <c r="D464" t="str">
        <f>"1"</f>
        <v>1</v>
      </c>
      <c r="E464" t="str">
        <f>"6"</f>
        <v>6</v>
      </c>
      <c r="F464" t="str">
        <f>"1"</f>
        <v>1</v>
      </c>
      <c r="G464" s="2">
        <v>7142617909.3699999</v>
      </c>
    </row>
    <row r="465" spans="1:7" x14ac:dyDescent="0.25">
      <c r="A465" s="1">
        <v>44651</v>
      </c>
      <c r="B465" t="str">
        <f>"2217"</f>
        <v>2217</v>
      </c>
      <c r="C465" t="str">
        <f>"Долгосрочные вклады юридических лиц"</f>
        <v>Долгосрочные вклады юридических лиц</v>
      </c>
      <c r="D465" t="str">
        <f>"1"</f>
        <v>1</v>
      </c>
      <c r="E465" t="str">
        <f>"7"</f>
        <v>7</v>
      </c>
      <c r="F465" t="str">
        <f>"1"</f>
        <v>1</v>
      </c>
      <c r="G465" s="2">
        <v>472037467.38999999</v>
      </c>
    </row>
    <row r="466" spans="1:7" x14ac:dyDescent="0.25">
      <c r="A466" s="1">
        <v>44651</v>
      </c>
      <c r="B466" t="str">
        <f>"2217"</f>
        <v>2217</v>
      </c>
      <c r="C466" t="str">
        <f>"Долгосрочные вклады юридических лиц"</f>
        <v>Долгосрочные вклады юридических лиц</v>
      </c>
      <c r="D466" t="str">
        <f>"2"</f>
        <v>2</v>
      </c>
      <c r="E466" t="str">
        <f>"7"</f>
        <v>7</v>
      </c>
      <c r="F466" t="str">
        <f>"2"</f>
        <v>2</v>
      </c>
      <c r="G466" s="2">
        <v>9147687.1999999993</v>
      </c>
    </row>
    <row r="467" spans="1:7" x14ac:dyDescent="0.25">
      <c r="A467" s="1">
        <v>44651</v>
      </c>
      <c r="B467" t="str">
        <f t="shared" ref="B467:B473" si="93">"2219"</f>
        <v>2219</v>
      </c>
      <c r="C467" t="str">
        <f t="shared" ref="C467:C473" si="94">"Условные вклады юридических лиц"</f>
        <v>Условные вклады юридических лиц</v>
      </c>
      <c r="D467" t="str">
        <f t="shared" ref="D467:D472" si="95">"1"</f>
        <v>1</v>
      </c>
      <c r="E467" t="str">
        <f>"5"</f>
        <v>5</v>
      </c>
      <c r="F467" t="str">
        <f>"1"</f>
        <v>1</v>
      </c>
      <c r="G467" s="2">
        <v>33156639.489999998</v>
      </c>
    </row>
    <row r="468" spans="1:7" x14ac:dyDescent="0.25">
      <c r="A468" s="1">
        <v>44651</v>
      </c>
      <c r="B468" t="str">
        <f t="shared" si="93"/>
        <v>2219</v>
      </c>
      <c r="C468" t="str">
        <f t="shared" si="94"/>
        <v>Условные вклады юридических лиц</v>
      </c>
      <c r="D468" t="str">
        <f t="shared" si="95"/>
        <v>1</v>
      </c>
      <c r="E468" t="str">
        <f>"6"</f>
        <v>6</v>
      </c>
      <c r="F468" t="str">
        <f>"1"</f>
        <v>1</v>
      </c>
      <c r="G468" s="2">
        <v>128991944</v>
      </c>
    </row>
    <row r="469" spans="1:7" x14ac:dyDescent="0.25">
      <c r="A469" s="1">
        <v>44651</v>
      </c>
      <c r="B469" t="str">
        <f t="shared" si="93"/>
        <v>2219</v>
      </c>
      <c r="C469" t="str">
        <f t="shared" si="94"/>
        <v>Условные вклады юридических лиц</v>
      </c>
      <c r="D469" t="str">
        <f t="shared" si="95"/>
        <v>1</v>
      </c>
      <c r="E469" t="str">
        <f>"6"</f>
        <v>6</v>
      </c>
      <c r="F469" t="str">
        <f>"2"</f>
        <v>2</v>
      </c>
      <c r="G469" s="2">
        <v>88055187.200000003</v>
      </c>
    </row>
    <row r="470" spans="1:7" x14ac:dyDescent="0.25">
      <c r="A470" s="1">
        <v>44651</v>
      </c>
      <c r="B470" t="str">
        <f t="shared" si="93"/>
        <v>2219</v>
      </c>
      <c r="C470" t="str">
        <f t="shared" si="94"/>
        <v>Условные вклады юридических лиц</v>
      </c>
      <c r="D470" t="str">
        <f t="shared" si="95"/>
        <v>1</v>
      </c>
      <c r="E470" t="str">
        <f>"7"</f>
        <v>7</v>
      </c>
      <c r="F470" t="str">
        <f>"1"</f>
        <v>1</v>
      </c>
      <c r="G470" s="2">
        <v>1931682073.6099999</v>
      </c>
    </row>
    <row r="471" spans="1:7" x14ac:dyDescent="0.25">
      <c r="A471" s="1">
        <v>44651</v>
      </c>
      <c r="B471" t="str">
        <f t="shared" si="93"/>
        <v>2219</v>
      </c>
      <c r="C471" t="str">
        <f t="shared" si="94"/>
        <v>Условные вклады юридических лиц</v>
      </c>
      <c r="D471" t="str">
        <f t="shared" si="95"/>
        <v>1</v>
      </c>
      <c r="E471" t="str">
        <f>"7"</f>
        <v>7</v>
      </c>
      <c r="F471" t="str">
        <f>"2"</f>
        <v>2</v>
      </c>
      <c r="G471" s="2">
        <v>3832323663.25</v>
      </c>
    </row>
    <row r="472" spans="1:7" x14ac:dyDescent="0.25">
      <c r="A472" s="1">
        <v>44651</v>
      </c>
      <c r="B472" t="str">
        <f t="shared" si="93"/>
        <v>2219</v>
      </c>
      <c r="C472" t="str">
        <f t="shared" si="94"/>
        <v>Условные вклады юридических лиц</v>
      </c>
      <c r="D472" t="str">
        <f t="shared" si="95"/>
        <v>1</v>
      </c>
      <c r="E472" t="str">
        <f>"8"</f>
        <v>8</v>
      </c>
      <c r="F472" t="str">
        <f>"1"</f>
        <v>1</v>
      </c>
      <c r="G472" s="2">
        <v>366174.56</v>
      </c>
    </row>
    <row r="473" spans="1:7" x14ac:dyDescent="0.25">
      <c r="A473" s="1">
        <v>44651</v>
      </c>
      <c r="B473" t="str">
        <f t="shared" si="93"/>
        <v>2219</v>
      </c>
      <c r="C473" t="str">
        <f t="shared" si="94"/>
        <v>Условные вклады юридических лиц</v>
      </c>
      <c r="D473" t="str">
        <f>"2"</f>
        <v>2</v>
      </c>
      <c r="E473" t="str">
        <f>"7"</f>
        <v>7</v>
      </c>
      <c r="F473" t="str">
        <f>"1"</f>
        <v>1</v>
      </c>
      <c r="G473" s="2">
        <v>1007000</v>
      </c>
    </row>
    <row r="474" spans="1:7" x14ac:dyDescent="0.25">
      <c r="A474" s="1">
        <v>44651</v>
      </c>
      <c r="B474" t="str">
        <f>"2223"</f>
        <v>2223</v>
      </c>
      <c r="C474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D474" t="str">
        <f>"1"</f>
        <v>1</v>
      </c>
      <c r="E474" t="str">
        <f>"5"</f>
        <v>5</v>
      </c>
      <c r="F474" t="str">
        <f>"2"</f>
        <v>2</v>
      </c>
      <c r="G474" s="2">
        <v>468641550</v>
      </c>
    </row>
    <row r="475" spans="1:7" x14ac:dyDescent="0.25">
      <c r="A475" s="1">
        <v>44651</v>
      </c>
      <c r="B475" t="str">
        <f>"2223"</f>
        <v>2223</v>
      </c>
      <c r="C475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D475" t="str">
        <f>"1"</f>
        <v>1</v>
      </c>
      <c r="E475" t="str">
        <f>"6"</f>
        <v>6</v>
      </c>
      <c r="F475" t="str">
        <f>"1"</f>
        <v>1</v>
      </c>
      <c r="G475" s="2">
        <v>56044211.299999997</v>
      </c>
    </row>
    <row r="476" spans="1:7" x14ac:dyDescent="0.25">
      <c r="A476" s="1">
        <v>44651</v>
      </c>
      <c r="B476" t="str">
        <f>"2223"</f>
        <v>2223</v>
      </c>
      <c r="C476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D476" t="str">
        <f>"1"</f>
        <v>1</v>
      </c>
      <c r="E476" t="str">
        <f>"7"</f>
        <v>7</v>
      </c>
      <c r="F476" t="str">
        <f>"1"</f>
        <v>1</v>
      </c>
      <c r="G476" s="2">
        <v>4240516074.9699998</v>
      </c>
    </row>
    <row r="477" spans="1:7" x14ac:dyDescent="0.25">
      <c r="A477" s="1">
        <v>44651</v>
      </c>
      <c r="B477" t="str">
        <f>"2223"</f>
        <v>2223</v>
      </c>
      <c r="C477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D477" t="str">
        <f>"1"</f>
        <v>1</v>
      </c>
      <c r="E477" t="str">
        <f>"7"</f>
        <v>7</v>
      </c>
      <c r="F477" t="str">
        <f>"2"</f>
        <v>2</v>
      </c>
      <c r="G477" s="2">
        <v>2261031667.1399999</v>
      </c>
    </row>
    <row r="478" spans="1:7" x14ac:dyDescent="0.25">
      <c r="A478" s="1">
        <v>44651</v>
      </c>
      <c r="B478" t="str">
        <f>"2223"</f>
        <v>2223</v>
      </c>
      <c r="C478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D478" t="str">
        <f>"2"</f>
        <v>2</v>
      </c>
      <c r="E478" t="str">
        <f>"7"</f>
        <v>7</v>
      </c>
      <c r="F478" t="str">
        <f>"2"</f>
        <v>2</v>
      </c>
      <c r="G478" s="2">
        <v>4802993000</v>
      </c>
    </row>
    <row r="479" spans="1:7" x14ac:dyDescent="0.25">
      <c r="A479" s="1">
        <v>44651</v>
      </c>
      <c r="B479" t="str">
        <f>"2227"</f>
        <v>2227</v>
      </c>
      <c r="C479" t="str">
        <f>"Обязательства по аренде"</f>
        <v>Обязательства по аренде</v>
      </c>
      <c r="D479" t="str">
        <f t="shared" ref="D479:D499" si="96">"1"</f>
        <v>1</v>
      </c>
      <c r="E479" t="str">
        <f>"7"</f>
        <v>7</v>
      </c>
      <c r="F479" t="str">
        <f>"1"</f>
        <v>1</v>
      </c>
      <c r="G479" s="2">
        <v>2070969651.51</v>
      </c>
    </row>
    <row r="480" spans="1:7" x14ac:dyDescent="0.25">
      <c r="A480" s="1">
        <v>44651</v>
      </c>
      <c r="B480" t="str">
        <f>"2229"</f>
        <v>2229</v>
      </c>
      <c r="C480" t="str">
        <f>"Сберегательные вклады физических лиц (более одного года)"</f>
        <v>Сберегательные вклады физических лиц (более одного года)</v>
      </c>
      <c r="D480" t="str">
        <f t="shared" si="96"/>
        <v>1</v>
      </c>
      <c r="E480" t="str">
        <f>"9"</f>
        <v>9</v>
      </c>
      <c r="F480" t="str">
        <f>"1"</f>
        <v>1</v>
      </c>
      <c r="G480" s="2">
        <v>56658018.810000002</v>
      </c>
    </row>
    <row r="481" spans="1:7" x14ac:dyDescent="0.25">
      <c r="A481" s="1">
        <v>44651</v>
      </c>
      <c r="B481" t="str">
        <f t="shared" ref="B481:B506" si="97">"2237"</f>
        <v>2237</v>
      </c>
      <c r="C481" t="str">
        <f t="shared" ref="C481:C506" si="98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D481" t="str">
        <f t="shared" si="96"/>
        <v>1</v>
      </c>
      <c r="E481" t="str">
        <f>"1"</f>
        <v>1</v>
      </c>
      <c r="F481" t="str">
        <f>"2"</f>
        <v>2</v>
      </c>
      <c r="G481" s="2">
        <v>7054921.3399999999</v>
      </c>
    </row>
    <row r="482" spans="1:7" x14ac:dyDescent="0.25">
      <c r="A482" s="1">
        <v>44651</v>
      </c>
      <c r="B482" t="str">
        <f t="shared" si="97"/>
        <v>2237</v>
      </c>
      <c r="C482" t="str">
        <f t="shared" si="98"/>
        <v>Счет хранения указаний отправителя в соответствии с валютным законодательством Республики Казахстан</v>
      </c>
      <c r="D482" t="str">
        <f t="shared" si="96"/>
        <v>1</v>
      </c>
      <c r="E482" t="str">
        <f>"4"</f>
        <v>4</v>
      </c>
      <c r="F482" t="str">
        <f>"1"</f>
        <v>1</v>
      </c>
      <c r="G482" s="2">
        <v>50000</v>
      </c>
    </row>
    <row r="483" spans="1:7" x14ac:dyDescent="0.25">
      <c r="A483" s="1">
        <v>44651</v>
      </c>
      <c r="B483" t="str">
        <f t="shared" si="97"/>
        <v>2237</v>
      </c>
      <c r="C483" t="str">
        <f t="shared" si="98"/>
        <v>Счет хранения указаний отправителя в соответствии с валютным законодательством Республики Казахстан</v>
      </c>
      <c r="D483" t="str">
        <f t="shared" si="96"/>
        <v>1</v>
      </c>
      <c r="E483" t="str">
        <f>"4"</f>
        <v>4</v>
      </c>
      <c r="F483" t="str">
        <f>"2"</f>
        <v>2</v>
      </c>
      <c r="G483" s="2">
        <v>5965959.8200000003</v>
      </c>
    </row>
    <row r="484" spans="1:7" x14ac:dyDescent="0.25">
      <c r="A484" s="1">
        <v>44651</v>
      </c>
      <c r="B484" t="str">
        <f t="shared" si="97"/>
        <v>2237</v>
      </c>
      <c r="C484" t="str">
        <f t="shared" si="98"/>
        <v>Счет хранения указаний отправителя в соответствии с валютным законодательством Республики Казахстан</v>
      </c>
      <c r="D484" t="str">
        <f t="shared" si="96"/>
        <v>1</v>
      </c>
      <c r="E484" t="str">
        <f>"4"</f>
        <v>4</v>
      </c>
      <c r="F484" t="str">
        <f>"3"</f>
        <v>3</v>
      </c>
      <c r="G484" s="2">
        <v>2133959.84</v>
      </c>
    </row>
    <row r="485" spans="1:7" x14ac:dyDescent="0.25">
      <c r="A485" s="1">
        <v>44651</v>
      </c>
      <c r="B485" t="str">
        <f t="shared" si="97"/>
        <v>2237</v>
      </c>
      <c r="C485" t="str">
        <f t="shared" si="98"/>
        <v>Счет хранения указаний отправителя в соответствии с валютным законодательством Республики Казахстан</v>
      </c>
      <c r="D485" t="str">
        <f t="shared" si="96"/>
        <v>1</v>
      </c>
      <c r="E485" t="str">
        <f>"5"</f>
        <v>5</v>
      </c>
      <c r="F485" t="str">
        <f>"1"</f>
        <v>1</v>
      </c>
      <c r="G485" s="2">
        <v>0</v>
      </c>
    </row>
    <row r="486" spans="1:7" x14ac:dyDescent="0.25">
      <c r="A486" s="1">
        <v>44651</v>
      </c>
      <c r="B486" t="str">
        <f t="shared" si="97"/>
        <v>2237</v>
      </c>
      <c r="C486" t="str">
        <f t="shared" si="98"/>
        <v>Счет хранения указаний отправителя в соответствии с валютным законодательством Республики Казахстан</v>
      </c>
      <c r="D486" t="str">
        <f t="shared" si="96"/>
        <v>1</v>
      </c>
      <c r="E486" t="str">
        <f>"5"</f>
        <v>5</v>
      </c>
      <c r="F486" t="str">
        <f>"2"</f>
        <v>2</v>
      </c>
      <c r="G486" s="2">
        <v>21725518.129999999</v>
      </c>
    </row>
    <row r="487" spans="1:7" x14ac:dyDescent="0.25">
      <c r="A487" s="1">
        <v>44651</v>
      </c>
      <c r="B487" t="str">
        <f t="shared" si="97"/>
        <v>2237</v>
      </c>
      <c r="C487" t="str">
        <f t="shared" si="98"/>
        <v>Счет хранения указаний отправителя в соответствии с валютным законодательством Республики Казахстан</v>
      </c>
      <c r="D487" t="str">
        <f t="shared" si="96"/>
        <v>1</v>
      </c>
      <c r="E487" t="str">
        <f>"5"</f>
        <v>5</v>
      </c>
      <c r="F487" t="str">
        <f>"3"</f>
        <v>3</v>
      </c>
      <c r="G487" s="2">
        <v>40076.699999999997</v>
      </c>
    </row>
    <row r="488" spans="1:7" x14ac:dyDescent="0.25">
      <c r="A488" s="1">
        <v>44651</v>
      </c>
      <c r="B488" t="str">
        <f t="shared" si="97"/>
        <v>2237</v>
      </c>
      <c r="C488" t="str">
        <f t="shared" si="98"/>
        <v>Счет хранения указаний отправителя в соответствии с валютным законодательством Республики Казахстан</v>
      </c>
      <c r="D488" t="str">
        <f t="shared" si="96"/>
        <v>1</v>
      </c>
      <c r="E488" t="str">
        <f>"6"</f>
        <v>6</v>
      </c>
      <c r="F488" t="str">
        <f>"1"</f>
        <v>1</v>
      </c>
      <c r="G488" s="2">
        <v>3743054.67</v>
      </c>
    </row>
    <row r="489" spans="1:7" x14ac:dyDescent="0.25">
      <c r="A489" s="1">
        <v>44651</v>
      </c>
      <c r="B489" t="str">
        <f t="shared" si="97"/>
        <v>2237</v>
      </c>
      <c r="C489" t="str">
        <f t="shared" si="98"/>
        <v>Счет хранения указаний отправителя в соответствии с валютным законодательством Республики Казахстан</v>
      </c>
      <c r="D489" t="str">
        <f t="shared" si="96"/>
        <v>1</v>
      </c>
      <c r="E489" t="str">
        <f>"6"</f>
        <v>6</v>
      </c>
      <c r="F489" t="str">
        <f>"2"</f>
        <v>2</v>
      </c>
      <c r="G489" s="2">
        <v>244601758.71000001</v>
      </c>
    </row>
    <row r="490" spans="1:7" x14ac:dyDescent="0.25">
      <c r="A490" s="1">
        <v>44651</v>
      </c>
      <c r="B490" t="str">
        <f t="shared" si="97"/>
        <v>2237</v>
      </c>
      <c r="C490" t="str">
        <f t="shared" si="98"/>
        <v>Счет хранения указаний отправителя в соответствии с валютным законодательством Республики Казахстан</v>
      </c>
      <c r="D490" t="str">
        <f t="shared" si="96"/>
        <v>1</v>
      </c>
      <c r="E490" t="str">
        <f>"6"</f>
        <v>6</v>
      </c>
      <c r="F490" t="str">
        <f>"3"</f>
        <v>3</v>
      </c>
      <c r="G490" s="2">
        <v>86990733.879999995</v>
      </c>
    </row>
    <row r="491" spans="1:7" x14ac:dyDescent="0.25">
      <c r="A491" s="1">
        <v>44651</v>
      </c>
      <c r="B491" t="str">
        <f t="shared" si="97"/>
        <v>2237</v>
      </c>
      <c r="C491" t="str">
        <f t="shared" si="98"/>
        <v>Счет хранения указаний отправителя в соответствии с валютным законодательством Республики Казахстан</v>
      </c>
      <c r="D491" t="str">
        <f t="shared" si="96"/>
        <v>1</v>
      </c>
      <c r="E491" t="str">
        <f>"7"</f>
        <v>7</v>
      </c>
      <c r="F491" t="str">
        <f>"1"</f>
        <v>1</v>
      </c>
      <c r="G491" s="2">
        <v>423608546.20999998</v>
      </c>
    </row>
    <row r="492" spans="1:7" x14ac:dyDescent="0.25">
      <c r="A492" s="1">
        <v>44651</v>
      </c>
      <c r="B492" t="str">
        <f t="shared" si="97"/>
        <v>2237</v>
      </c>
      <c r="C492" t="str">
        <f t="shared" si="98"/>
        <v>Счет хранения указаний отправителя в соответствии с валютным законодательством Республики Казахстан</v>
      </c>
      <c r="D492" t="str">
        <f t="shared" si="96"/>
        <v>1</v>
      </c>
      <c r="E492" t="str">
        <f>"7"</f>
        <v>7</v>
      </c>
      <c r="F492" t="str">
        <f>"2"</f>
        <v>2</v>
      </c>
      <c r="G492" s="2">
        <v>4331855280.7399998</v>
      </c>
    </row>
    <row r="493" spans="1:7" x14ac:dyDescent="0.25">
      <c r="A493" s="1">
        <v>44651</v>
      </c>
      <c r="B493" t="str">
        <f t="shared" si="97"/>
        <v>2237</v>
      </c>
      <c r="C493" t="str">
        <f t="shared" si="98"/>
        <v>Счет хранения указаний отправителя в соответствии с валютным законодательством Республики Казахстан</v>
      </c>
      <c r="D493" t="str">
        <f t="shared" si="96"/>
        <v>1</v>
      </c>
      <c r="E493" t="str">
        <f>"7"</f>
        <v>7</v>
      </c>
      <c r="F493" t="str">
        <f>"3"</f>
        <v>3</v>
      </c>
      <c r="G493" s="2">
        <v>1030610451.9</v>
      </c>
    </row>
    <row r="494" spans="1:7" x14ac:dyDescent="0.25">
      <c r="A494" s="1">
        <v>44651</v>
      </c>
      <c r="B494" t="str">
        <f t="shared" si="97"/>
        <v>2237</v>
      </c>
      <c r="C494" t="str">
        <f t="shared" si="98"/>
        <v>Счет хранения указаний отправителя в соответствии с валютным законодательством Республики Казахстан</v>
      </c>
      <c r="D494" t="str">
        <f t="shared" si="96"/>
        <v>1</v>
      </c>
      <c r="E494" t="str">
        <f>"8"</f>
        <v>8</v>
      </c>
      <c r="F494" t="str">
        <f>"1"</f>
        <v>1</v>
      </c>
      <c r="G494" s="2">
        <v>18556530.699999999</v>
      </c>
    </row>
    <row r="495" spans="1:7" x14ac:dyDescent="0.25">
      <c r="A495" s="1">
        <v>44651</v>
      </c>
      <c r="B495" t="str">
        <f t="shared" si="97"/>
        <v>2237</v>
      </c>
      <c r="C495" t="str">
        <f t="shared" si="98"/>
        <v>Счет хранения указаний отправителя в соответствии с валютным законодательством Республики Казахстан</v>
      </c>
      <c r="D495" t="str">
        <f t="shared" si="96"/>
        <v>1</v>
      </c>
      <c r="E495" t="str">
        <f>"8"</f>
        <v>8</v>
      </c>
      <c r="F495" t="str">
        <f>"2"</f>
        <v>2</v>
      </c>
      <c r="G495" s="2">
        <v>118704089.23</v>
      </c>
    </row>
    <row r="496" spans="1:7" x14ac:dyDescent="0.25">
      <c r="A496" s="1">
        <v>44651</v>
      </c>
      <c r="B496" t="str">
        <f t="shared" si="97"/>
        <v>2237</v>
      </c>
      <c r="C496" t="str">
        <f t="shared" si="98"/>
        <v>Счет хранения указаний отправителя в соответствии с валютным законодательством Республики Казахстан</v>
      </c>
      <c r="D496" t="str">
        <f t="shared" si="96"/>
        <v>1</v>
      </c>
      <c r="E496" t="str">
        <f>"8"</f>
        <v>8</v>
      </c>
      <c r="F496" t="str">
        <f>"3"</f>
        <v>3</v>
      </c>
      <c r="G496" s="2">
        <v>11400</v>
      </c>
    </row>
    <row r="497" spans="1:7" x14ac:dyDescent="0.25">
      <c r="A497" s="1">
        <v>44651</v>
      </c>
      <c r="B497" t="str">
        <f t="shared" si="97"/>
        <v>2237</v>
      </c>
      <c r="C497" t="str">
        <f t="shared" si="98"/>
        <v>Счет хранения указаний отправителя в соответствии с валютным законодательством Республики Казахстан</v>
      </c>
      <c r="D497" t="str">
        <f t="shared" si="96"/>
        <v>1</v>
      </c>
      <c r="E497" t="str">
        <f>"9"</f>
        <v>9</v>
      </c>
      <c r="F497" t="str">
        <f>"1"</f>
        <v>1</v>
      </c>
      <c r="G497" s="2">
        <v>13191482.300000001</v>
      </c>
    </row>
    <row r="498" spans="1:7" x14ac:dyDescent="0.25">
      <c r="A498" s="1">
        <v>44651</v>
      </c>
      <c r="B498" t="str">
        <f t="shared" si="97"/>
        <v>2237</v>
      </c>
      <c r="C498" t="str">
        <f t="shared" si="98"/>
        <v>Счет хранения указаний отправителя в соответствии с валютным законодательством Республики Казахстан</v>
      </c>
      <c r="D498" t="str">
        <f t="shared" si="96"/>
        <v>1</v>
      </c>
      <c r="E498" t="str">
        <f>"9"</f>
        <v>9</v>
      </c>
      <c r="F498" t="str">
        <f>"2"</f>
        <v>2</v>
      </c>
      <c r="G498" s="2">
        <v>476528310.43000001</v>
      </c>
    </row>
    <row r="499" spans="1:7" x14ac:dyDescent="0.25">
      <c r="A499" s="1">
        <v>44651</v>
      </c>
      <c r="B499" t="str">
        <f t="shared" si="97"/>
        <v>2237</v>
      </c>
      <c r="C499" t="str">
        <f t="shared" si="98"/>
        <v>Счет хранения указаний отправителя в соответствии с валютным законодательством Республики Казахстан</v>
      </c>
      <c r="D499" t="str">
        <f t="shared" si="96"/>
        <v>1</v>
      </c>
      <c r="E499" t="str">
        <f>"9"</f>
        <v>9</v>
      </c>
      <c r="F499" t="str">
        <f>"3"</f>
        <v>3</v>
      </c>
      <c r="G499" s="2">
        <v>17879713.829999998</v>
      </c>
    </row>
    <row r="500" spans="1:7" x14ac:dyDescent="0.25">
      <c r="A500" s="1">
        <v>44651</v>
      </c>
      <c r="B500" t="str">
        <f t="shared" si="97"/>
        <v>2237</v>
      </c>
      <c r="C500" t="str">
        <f t="shared" si="98"/>
        <v>Счет хранения указаний отправителя в соответствии с валютным законодательством Республики Казахстан</v>
      </c>
      <c r="D500" t="str">
        <f t="shared" ref="D500:D506" si="99">"2"</f>
        <v>2</v>
      </c>
      <c r="E500" t="str">
        <f>"1"</f>
        <v>1</v>
      </c>
      <c r="F500" t="str">
        <f>"1"</f>
        <v>1</v>
      </c>
      <c r="G500" s="2">
        <v>25142.39</v>
      </c>
    </row>
    <row r="501" spans="1:7" x14ac:dyDescent="0.25">
      <c r="A501" s="1">
        <v>44651</v>
      </c>
      <c r="B501" t="str">
        <f t="shared" si="97"/>
        <v>2237</v>
      </c>
      <c r="C501" t="str">
        <f t="shared" si="98"/>
        <v>Счет хранения указаний отправителя в соответствии с валютным законодательством Республики Казахстан</v>
      </c>
      <c r="D501" t="str">
        <f t="shared" si="99"/>
        <v>2</v>
      </c>
      <c r="E501" t="str">
        <f>"7"</f>
        <v>7</v>
      </c>
      <c r="F501" t="str">
        <f>"1"</f>
        <v>1</v>
      </c>
      <c r="G501" s="2">
        <v>54392347.200000003</v>
      </c>
    </row>
    <row r="502" spans="1:7" x14ac:dyDescent="0.25">
      <c r="A502" s="1">
        <v>44651</v>
      </c>
      <c r="B502" t="str">
        <f t="shared" si="97"/>
        <v>2237</v>
      </c>
      <c r="C502" t="str">
        <f t="shared" si="98"/>
        <v>Счет хранения указаний отправителя в соответствии с валютным законодательством Республики Казахстан</v>
      </c>
      <c r="D502" t="str">
        <f t="shared" si="99"/>
        <v>2</v>
      </c>
      <c r="E502" t="str">
        <f>"7"</f>
        <v>7</v>
      </c>
      <c r="F502" t="str">
        <f>"2"</f>
        <v>2</v>
      </c>
      <c r="G502" s="2">
        <v>96871958.239999995</v>
      </c>
    </row>
    <row r="503" spans="1:7" x14ac:dyDescent="0.25">
      <c r="A503" s="1">
        <v>44651</v>
      </c>
      <c r="B503" t="str">
        <f t="shared" si="97"/>
        <v>2237</v>
      </c>
      <c r="C503" t="str">
        <f t="shared" si="98"/>
        <v>Счет хранения указаний отправителя в соответствии с валютным законодательством Республики Казахстан</v>
      </c>
      <c r="D503" t="str">
        <f t="shared" si="99"/>
        <v>2</v>
      </c>
      <c r="E503" t="str">
        <f>"7"</f>
        <v>7</v>
      </c>
      <c r="F503" t="str">
        <f>"3"</f>
        <v>3</v>
      </c>
      <c r="G503" s="2">
        <v>3705000</v>
      </c>
    </row>
    <row r="504" spans="1:7" x14ac:dyDescent="0.25">
      <c r="A504" s="1">
        <v>44651</v>
      </c>
      <c r="B504" t="str">
        <f t="shared" si="97"/>
        <v>2237</v>
      </c>
      <c r="C504" t="str">
        <f t="shared" si="98"/>
        <v>Счет хранения указаний отправителя в соответствии с валютным законодательством Республики Казахстан</v>
      </c>
      <c r="D504" t="str">
        <f t="shared" si="99"/>
        <v>2</v>
      </c>
      <c r="E504" t="str">
        <f>"9"</f>
        <v>9</v>
      </c>
      <c r="F504" t="str">
        <f>"1"</f>
        <v>1</v>
      </c>
      <c r="G504" s="2">
        <v>509940</v>
      </c>
    </row>
    <row r="505" spans="1:7" x14ac:dyDescent="0.25">
      <c r="A505" s="1">
        <v>44651</v>
      </c>
      <c r="B505" t="str">
        <f t="shared" si="97"/>
        <v>2237</v>
      </c>
      <c r="C505" t="str">
        <f t="shared" si="98"/>
        <v>Счет хранения указаний отправителя в соответствии с валютным законодательством Республики Казахстан</v>
      </c>
      <c r="D505" t="str">
        <f t="shared" si="99"/>
        <v>2</v>
      </c>
      <c r="E505" t="str">
        <f>"9"</f>
        <v>9</v>
      </c>
      <c r="F505" t="str">
        <f>"2"</f>
        <v>2</v>
      </c>
      <c r="G505" s="2">
        <v>6669148.8499999996</v>
      </c>
    </row>
    <row r="506" spans="1:7" x14ac:dyDescent="0.25">
      <c r="A506" s="1">
        <v>44651</v>
      </c>
      <c r="B506" t="str">
        <f t="shared" si="97"/>
        <v>2237</v>
      </c>
      <c r="C506" t="str">
        <f t="shared" si="98"/>
        <v>Счет хранения указаний отправителя в соответствии с валютным законодательством Республики Казахстан</v>
      </c>
      <c r="D506" t="str">
        <f t="shared" si="99"/>
        <v>2</v>
      </c>
      <c r="E506" t="str">
        <f>"9"</f>
        <v>9</v>
      </c>
      <c r="F506" t="str">
        <f>"3"</f>
        <v>3</v>
      </c>
      <c r="G506" s="2">
        <v>0</v>
      </c>
    </row>
    <row r="507" spans="1:7" x14ac:dyDescent="0.25">
      <c r="A507" s="1">
        <v>44651</v>
      </c>
      <c r="B507" t="str">
        <f>"2239"</f>
        <v>2239</v>
      </c>
      <c r="C507" t="str">
        <f>"Дисконт по вкладам, привлеченным от клиентов"</f>
        <v>Дисконт по вкладам, привлеченным от клиентов</v>
      </c>
      <c r="D507" t="str">
        <f t="shared" ref="D507:D514" si="100">"1"</f>
        <v>1</v>
      </c>
      <c r="E507" t="str">
        <f>"5"</f>
        <v>5</v>
      </c>
      <c r="F507" t="str">
        <f>"1"</f>
        <v>1</v>
      </c>
      <c r="G507" s="2">
        <v>-54585247190.050003</v>
      </c>
    </row>
    <row r="508" spans="1:7" x14ac:dyDescent="0.25">
      <c r="A508" s="1">
        <v>44651</v>
      </c>
      <c r="B508" t="str">
        <f t="shared" ref="B508:B515" si="101">"2240"</f>
        <v>2240</v>
      </c>
      <c r="C508" t="str">
        <f t="shared" ref="C508:C515" si="102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D508" t="str">
        <f t="shared" si="100"/>
        <v>1</v>
      </c>
      <c r="E508" t="str">
        <f>"5"</f>
        <v>5</v>
      </c>
      <c r="F508" t="str">
        <f>"1"</f>
        <v>1</v>
      </c>
      <c r="G508" s="2">
        <v>75558890</v>
      </c>
    </row>
    <row r="509" spans="1:7" x14ac:dyDescent="0.25">
      <c r="A509" s="1">
        <v>44651</v>
      </c>
      <c r="B509" t="str">
        <f t="shared" si="101"/>
        <v>2240</v>
      </c>
      <c r="C509" t="str">
        <f t="shared" si="102"/>
        <v>Счет хранения денег, принятых в качестве обеспечения (заклад, задаток) обязательств клиентов</v>
      </c>
      <c r="D509" t="str">
        <f t="shared" si="100"/>
        <v>1</v>
      </c>
      <c r="E509" t="str">
        <f>"6"</f>
        <v>6</v>
      </c>
      <c r="F509" t="str">
        <f>"1"</f>
        <v>1</v>
      </c>
      <c r="G509" s="2">
        <v>15902626.939999999</v>
      </c>
    </row>
    <row r="510" spans="1:7" x14ac:dyDescent="0.25">
      <c r="A510" s="1">
        <v>44651</v>
      </c>
      <c r="B510" t="str">
        <f t="shared" si="101"/>
        <v>2240</v>
      </c>
      <c r="C510" t="str">
        <f t="shared" si="102"/>
        <v>Счет хранения денег, принятых в качестве обеспечения (заклад, задаток) обязательств клиентов</v>
      </c>
      <c r="D510" t="str">
        <f t="shared" si="100"/>
        <v>1</v>
      </c>
      <c r="E510" t="str">
        <f>"7"</f>
        <v>7</v>
      </c>
      <c r="F510" t="str">
        <f>"1"</f>
        <v>1</v>
      </c>
      <c r="G510" s="2">
        <v>8863545525.7299995</v>
      </c>
    </row>
    <row r="511" spans="1:7" x14ac:dyDescent="0.25">
      <c r="A511" s="1">
        <v>44651</v>
      </c>
      <c r="B511" t="str">
        <f t="shared" si="101"/>
        <v>2240</v>
      </c>
      <c r="C511" t="str">
        <f t="shared" si="102"/>
        <v>Счет хранения денег, принятых в качестве обеспечения (заклад, задаток) обязательств клиентов</v>
      </c>
      <c r="D511" t="str">
        <f t="shared" si="100"/>
        <v>1</v>
      </c>
      <c r="E511" t="str">
        <f>"7"</f>
        <v>7</v>
      </c>
      <c r="F511" t="str">
        <f>"2"</f>
        <v>2</v>
      </c>
      <c r="G511" s="2">
        <v>15892128144.98</v>
      </c>
    </row>
    <row r="512" spans="1:7" x14ac:dyDescent="0.25">
      <c r="A512" s="1">
        <v>44651</v>
      </c>
      <c r="B512" t="str">
        <f t="shared" si="101"/>
        <v>2240</v>
      </c>
      <c r="C512" t="str">
        <f t="shared" si="102"/>
        <v>Счет хранения денег, принятых в качестве обеспечения (заклад, задаток) обязательств клиентов</v>
      </c>
      <c r="D512" t="str">
        <f t="shared" si="100"/>
        <v>1</v>
      </c>
      <c r="E512" t="str">
        <f>"8"</f>
        <v>8</v>
      </c>
      <c r="F512" t="str">
        <f>"1"</f>
        <v>1</v>
      </c>
      <c r="G512" s="2">
        <v>13288875</v>
      </c>
    </row>
    <row r="513" spans="1:7" x14ac:dyDescent="0.25">
      <c r="A513" s="1">
        <v>44651</v>
      </c>
      <c r="B513" t="str">
        <f t="shared" si="101"/>
        <v>2240</v>
      </c>
      <c r="C513" t="str">
        <f t="shared" si="102"/>
        <v>Счет хранения денег, принятых в качестве обеспечения (заклад, задаток) обязательств клиентов</v>
      </c>
      <c r="D513" t="str">
        <f t="shared" si="100"/>
        <v>1</v>
      </c>
      <c r="E513" t="str">
        <f>"9"</f>
        <v>9</v>
      </c>
      <c r="F513" t="str">
        <f>"1"</f>
        <v>1</v>
      </c>
      <c r="G513" s="2">
        <v>2086741072.1600001</v>
      </c>
    </row>
    <row r="514" spans="1:7" x14ac:dyDescent="0.25">
      <c r="A514" s="1">
        <v>44651</v>
      </c>
      <c r="B514" t="str">
        <f t="shared" si="101"/>
        <v>2240</v>
      </c>
      <c r="C514" t="str">
        <f t="shared" si="102"/>
        <v>Счет хранения денег, принятых в качестве обеспечения (заклад, задаток) обязательств клиентов</v>
      </c>
      <c r="D514" t="str">
        <f t="shared" si="100"/>
        <v>1</v>
      </c>
      <c r="E514" t="str">
        <f>"9"</f>
        <v>9</v>
      </c>
      <c r="F514" t="str">
        <f>"2"</f>
        <v>2</v>
      </c>
      <c r="G514" s="2">
        <v>1487746434.8099999</v>
      </c>
    </row>
    <row r="515" spans="1:7" x14ac:dyDescent="0.25">
      <c r="A515" s="1">
        <v>44651</v>
      </c>
      <c r="B515" t="str">
        <f t="shared" si="101"/>
        <v>2240</v>
      </c>
      <c r="C515" t="str">
        <f t="shared" si="102"/>
        <v>Счет хранения денег, принятых в качестве обеспечения (заклад, задаток) обязательств клиентов</v>
      </c>
      <c r="D515" t="str">
        <f>"2"</f>
        <v>2</v>
      </c>
      <c r="E515" t="str">
        <f>"9"</f>
        <v>9</v>
      </c>
      <c r="F515" t="str">
        <f>"1"</f>
        <v>1</v>
      </c>
      <c r="G515" s="2">
        <v>39251.89</v>
      </c>
    </row>
    <row r="516" spans="1:7" x14ac:dyDescent="0.25">
      <c r="A516" s="1">
        <v>44651</v>
      </c>
      <c r="B516" t="str">
        <f>"2255"</f>
        <v>2255</v>
      </c>
      <c r="C516" t="str">
        <f>"Операции «РЕПО» с ценными бумагами"</f>
        <v>Операции «РЕПО» с ценными бумагами</v>
      </c>
      <c r="D516" t="str">
        <f>"1"</f>
        <v>1</v>
      </c>
      <c r="E516" t="str">
        <f>"5"</f>
        <v>5</v>
      </c>
      <c r="F516" t="str">
        <f>"1"</f>
        <v>1</v>
      </c>
      <c r="G516" s="2">
        <v>30103290005.919998</v>
      </c>
    </row>
    <row r="517" spans="1:7" x14ac:dyDescent="0.25">
      <c r="A517" s="1">
        <v>44651</v>
      </c>
      <c r="B517" t="str">
        <f>"2301"</f>
        <v>2301</v>
      </c>
      <c r="C517" t="str">
        <f>"Выпущенные в обращение облигации"</f>
        <v>Выпущенные в обращение облигации</v>
      </c>
      <c r="D517" t="str">
        <f>"1"</f>
        <v>1</v>
      </c>
      <c r="E517" t="str">
        <f>"5"</f>
        <v>5</v>
      </c>
      <c r="F517" t="str">
        <f>"1"</f>
        <v>1</v>
      </c>
      <c r="G517" s="2">
        <v>269958859000</v>
      </c>
    </row>
    <row r="518" spans="1:7" x14ac:dyDescent="0.25">
      <c r="A518" s="1">
        <v>44651</v>
      </c>
      <c r="B518" t="str">
        <f>"2301"</f>
        <v>2301</v>
      </c>
      <c r="C518" t="str">
        <f>"Выпущенные в обращение облигации"</f>
        <v>Выпущенные в обращение облигации</v>
      </c>
      <c r="D518" t="str">
        <f>"1"</f>
        <v>1</v>
      </c>
      <c r="E518" t="str">
        <f>"5"</f>
        <v>5</v>
      </c>
      <c r="F518" t="str">
        <f>"2"</f>
        <v>2</v>
      </c>
      <c r="G518" s="2">
        <v>19818175000</v>
      </c>
    </row>
    <row r="519" spans="1:7" x14ac:dyDescent="0.25">
      <c r="A519" s="1">
        <v>44651</v>
      </c>
      <c r="B519" t="str">
        <f>"2301"</f>
        <v>2301</v>
      </c>
      <c r="C519" t="str">
        <f>"Выпущенные в обращение облигации"</f>
        <v>Выпущенные в обращение облигации</v>
      </c>
      <c r="D519" t="str">
        <f>"2"</f>
        <v>2</v>
      </c>
      <c r="E519" t="str">
        <f>"4"</f>
        <v>4</v>
      </c>
      <c r="F519" t="str">
        <f>"2"</f>
        <v>2</v>
      </c>
      <c r="G519" s="2">
        <v>31857626254.049999</v>
      </c>
    </row>
    <row r="520" spans="1:7" x14ac:dyDescent="0.25">
      <c r="A520" s="1">
        <v>44651</v>
      </c>
      <c r="B520" t="str">
        <f>"2304"</f>
        <v>2304</v>
      </c>
      <c r="C520" t="str">
        <f>"Премия по выпущенным в обращение ценным бумагам"</f>
        <v>Премия по выпущенным в обращение ценным бумагам</v>
      </c>
      <c r="D520" t="str">
        <f>"1"</f>
        <v>1</v>
      </c>
      <c r="E520" t="str">
        <f>"5"</f>
        <v>5</v>
      </c>
      <c r="F520" t="str">
        <f>"2"</f>
        <v>2</v>
      </c>
      <c r="G520" s="2">
        <v>772484.48</v>
      </c>
    </row>
    <row r="521" spans="1:7" x14ac:dyDescent="0.25">
      <c r="A521" s="1">
        <v>44651</v>
      </c>
      <c r="B521" t="str">
        <f>"2304"</f>
        <v>2304</v>
      </c>
      <c r="C521" t="str">
        <f>"Премия по выпущенным в обращение ценным бумагам"</f>
        <v>Премия по выпущенным в обращение ценным бумагам</v>
      </c>
      <c r="D521" t="str">
        <f>"2"</f>
        <v>2</v>
      </c>
      <c r="E521" t="str">
        <f>"4"</f>
        <v>4</v>
      </c>
      <c r="F521" t="str">
        <f>"2"</f>
        <v>2</v>
      </c>
      <c r="G521" s="2">
        <v>2135671.8199999998</v>
      </c>
    </row>
    <row r="522" spans="1:7" x14ac:dyDescent="0.25">
      <c r="A522" s="1">
        <v>44651</v>
      </c>
      <c r="B522" t="str">
        <f>"2305"</f>
        <v>2305</v>
      </c>
      <c r="C522" t="str">
        <f>"Дисконт по выпущенным в обращение ценным бумагам"</f>
        <v>Дисконт по выпущенным в обращение ценным бумагам</v>
      </c>
      <c r="D522" t="str">
        <f>"1"</f>
        <v>1</v>
      </c>
      <c r="E522" t="str">
        <f>"5"</f>
        <v>5</v>
      </c>
      <c r="F522" t="str">
        <f>"1"</f>
        <v>1</v>
      </c>
      <c r="G522" s="2">
        <v>-47544221604.080002</v>
      </c>
    </row>
    <row r="523" spans="1:7" x14ac:dyDescent="0.25">
      <c r="A523" s="1">
        <v>44651</v>
      </c>
      <c r="B523" t="str">
        <f>"2306"</f>
        <v>2306</v>
      </c>
      <c r="C523" t="str">
        <f>"Выкупленные облигации"</f>
        <v>Выкупленные облигации</v>
      </c>
      <c r="D523" t="str">
        <f>"1"</f>
        <v>1</v>
      </c>
      <c r="E523" t="str">
        <f>"5"</f>
        <v>5</v>
      </c>
      <c r="F523" t="str">
        <f>"2"</f>
        <v>2</v>
      </c>
      <c r="G523" s="2">
        <v>-2564705000</v>
      </c>
    </row>
    <row r="524" spans="1:7" x14ac:dyDescent="0.25">
      <c r="A524" s="1">
        <v>44651</v>
      </c>
      <c r="B524" t="str">
        <f>"2306"</f>
        <v>2306</v>
      </c>
      <c r="C524" t="str">
        <f>"Выкупленные облигации"</f>
        <v>Выкупленные облигации</v>
      </c>
      <c r="D524" t="str">
        <f>"2"</f>
        <v>2</v>
      </c>
      <c r="E524" t="str">
        <f>"4"</f>
        <v>4</v>
      </c>
      <c r="F524" t="str">
        <f>"2"</f>
        <v>2</v>
      </c>
      <c r="G524" s="2">
        <v>-15126449702.639999</v>
      </c>
    </row>
    <row r="525" spans="1:7" x14ac:dyDescent="0.25">
      <c r="A525" s="1">
        <v>44651</v>
      </c>
      <c r="B525" t="str">
        <f>"2404"</f>
        <v>2404</v>
      </c>
      <c r="C525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D525" t="str">
        <f>"1"</f>
        <v>1</v>
      </c>
      <c r="E525" t="str">
        <f>"5"</f>
        <v>5</v>
      </c>
      <c r="F525" t="str">
        <f t="shared" ref="F525:F531" si="103">"1"</f>
        <v>1</v>
      </c>
      <c r="G525" s="2">
        <v>-31616.5</v>
      </c>
    </row>
    <row r="526" spans="1:7" x14ac:dyDescent="0.25">
      <c r="A526" s="1">
        <v>44651</v>
      </c>
      <c r="B526" t="str">
        <f>"2405"</f>
        <v>2405</v>
      </c>
      <c r="C526" t="str">
        <f>"Выкупленные субординированные облигации"</f>
        <v>Выкупленные субординированные облигации</v>
      </c>
      <c r="D526" t="str">
        <f>"1"</f>
        <v>1</v>
      </c>
      <c r="E526" t="str">
        <f>"5"</f>
        <v>5</v>
      </c>
      <c r="F526" t="str">
        <f t="shared" si="103"/>
        <v>1</v>
      </c>
      <c r="G526" s="2">
        <v>-3411986049.21</v>
      </c>
    </row>
    <row r="527" spans="1:7" x14ac:dyDescent="0.25">
      <c r="A527" s="1">
        <v>44651</v>
      </c>
      <c r="B527" t="str">
        <f>"2406"</f>
        <v>2406</v>
      </c>
      <c r="C527" t="str">
        <f>"Субординированные облигации"</f>
        <v>Субординированные облигации</v>
      </c>
      <c r="D527" t="str">
        <f>"1"</f>
        <v>1</v>
      </c>
      <c r="E527" t="str">
        <f>"5"</f>
        <v>5</v>
      </c>
      <c r="F527" t="str">
        <f t="shared" si="103"/>
        <v>1</v>
      </c>
      <c r="G527" s="2">
        <v>23605943210.009998</v>
      </c>
    </row>
    <row r="528" spans="1:7" x14ac:dyDescent="0.25">
      <c r="A528" s="1">
        <v>44651</v>
      </c>
      <c r="B528" t="str">
        <f>"2704"</f>
        <v>2704</v>
      </c>
      <c r="C528" t="str">
        <f>"Начисленные расходы по займам, полученным от международных финансовых организаций"</f>
        <v>Начисленные расходы по займам, полученным от международных финансовых организаций</v>
      </c>
      <c r="D528" t="str">
        <f>"2"</f>
        <v>2</v>
      </c>
      <c r="E528" t="str">
        <f>""</f>
        <v/>
      </c>
      <c r="F528" t="str">
        <f t="shared" si="103"/>
        <v>1</v>
      </c>
      <c r="G528" s="2">
        <v>199790693.34999999</v>
      </c>
    </row>
    <row r="529" spans="1:7" x14ac:dyDescent="0.25">
      <c r="A529" s="1">
        <v>44651</v>
      </c>
      <c r="B529" t="str">
        <f>"2705"</f>
        <v>2705</v>
      </c>
      <c r="C529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D529" t="str">
        <f t="shared" ref="D529:D544" si="104">"1"</f>
        <v>1</v>
      </c>
      <c r="E529" t="str">
        <f>"4"</f>
        <v>4</v>
      </c>
      <c r="F529" t="str">
        <f t="shared" si="103"/>
        <v>1</v>
      </c>
      <c r="G529" s="2">
        <v>56040182.009999998</v>
      </c>
    </row>
    <row r="530" spans="1:7" x14ac:dyDescent="0.25">
      <c r="A530" s="1">
        <v>44651</v>
      </c>
      <c r="B530" t="str">
        <f>"2706"</f>
        <v>2706</v>
      </c>
      <c r="C530" t="str">
        <f>"Начисленные расходы по займам и финансовому лизингу"</f>
        <v>Начисленные расходы по займам и финансовому лизингу</v>
      </c>
      <c r="D530" t="str">
        <f t="shared" si="104"/>
        <v>1</v>
      </c>
      <c r="E530" t="str">
        <f>"5"</f>
        <v>5</v>
      </c>
      <c r="F530" t="str">
        <f t="shared" si="103"/>
        <v>1</v>
      </c>
      <c r="G530" s="2">
        <v>229016375.09999999</v>
      </c>
    </row>
    <row r="531" spans="1:7" x14ac:dyDescent="0.25">
      <c r="A531" s="1">
        <v>44651</v>
      </c>
      <c r="B531" t="str">
        <f>"2707"</f>
        <v>2707</v>
      </c>
      <c r="C531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D531" t="str">
        <f t="shared" si="104"/>
        <v>1</v>
      </c>
      <c r="E531" t="str">
        <f>"6"</f>
        <v>6</v>
      </c>
      <c r="F531" t="str">
        <f t="shared" si="103"/>
        <v>1</v>
      </c>
      <c r="G531" s="2">
        <v>1704444.62</v>
      </c>
    </row>
    <row r="532" spans="1:7" x14ac:dyDescent="0.25">
      <c r="A532" s="1">
        <v>44651</v>
      </c>
      <c r="B532" t="str">
        <f>"2707"</f>
        <v>2707</v>
      </c>
      <c r="C532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D532" t="str">
        <f t="shared" si="104"/>
        <v>1</v>
      </c>
      <c r="E532" t="str">
        <f>"7"</f>
        <v>7</v>
      </c>
      <c r="F532" t="str">
        <f>"2"</f>
        <v>2</v>
      </c>
      <c r="G532" s="2">
        <v>77541151.079999998</v>
      </c>
    </row>
    <row r="533" spans="1:7" x14ac:dyDescent="0.25">
      <c r="A533" s="1">
        <v>44651</v>
      </c>
      <c r="B533" t="str">
        <f>"2707"</f>
        <v>2707</v>
      </c>
      <c r="C533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D533" t="str">
        <f t="shared" si="104"/>
        <v>1</v>
      </c>
      <c r="E533" t="str">
        <f>"9"</f>
        <v>9</v>
      </c>
      <c r="F533" t="str">
        <f>"1"</f>
        <v>1</v>
      </c>
      <c r="G533" s="2">
        <v>3838620.17</v>
      </c>
    </row>
    <row r="534" spans="1:7" x14ac:dyDescent="0.25">
      <c r="A534" s="1">
        <v>44651</v>
      </c>
      <c r="B534" t="str">
        <f>"2707"</f>
        <v>2707</v>
      </c>
      <c r="C534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D534" t="str">
        <f t="shared" si="104"/>
        <v>1</v>
      </c>
      <c r="E534" t="str">
        <f>"9"</f>
        <v>9</v>
      </c>
      <c r="F534" t="str">
        <f>"2"</f>
        <v>2</v>
      </c>
      <c r="G534" s="2">
        <v>8853231.0899999999</v>
      </c>
    </row>
    <row r="535" spans="1:7" x14ac:dyDescent="0.25">
      <c r="A535" s="1">
        <v>44651</v>
      </c>
      <c r="B535" t="str">
        <f>"2718"</f>
        <v>2718</v>
      </c>
      <c r="C535" t="str">
        <f>"Начисленные расходы по текущим счетам клиентов"</f>
        <v>Начисленные расходы по текущим счетам клиентов</v>
      </c>
      <c r="D535" t="str">
        <f t="shared" si="104"/>
        <v>1</v>
      </c>
      <c r="E535" t="str">
        <f>"6"</f>
        <v>6</v>
      </c>
      <c r="F535" t="str">
        <f>"1"</f>
        <v>1</v>
      </c>
      <c r="G535" s="2">
        <v>4186.21</v>
      </c>
    </row>
    <row r="536" spans="1:7" x14ac:dyDescent="0.25">
      <c r="A536" s="1">
        <v>44651</v>
      </c>
      <c r="B536" t="str">
        <f>"2718"</f>
        <v>2718</v>
      </c>
      <c r="C536" t="str">
        <f>"Начисленные расходы по текущим счетам клиентов"</f>
        <v>Начисленные расходы по текущим счетам клиентов</v>
      </c>
      <c r="D536" t="str">
        <f t="shared" si="104"/>
        <v>1</v>
      </c>
      <c r="E536" t="str">
        <f>"7"</f>
        <v>7</v>
      </c>
      <c r="F536" t="str">
        <f>"1"</f>
        <v>1</v>
      </c>
      <c r="G536" s="2">
        <v>144874.21</v>
      </c>
    </row>
    <row r="537" spans="1:7" x14ac:dyDescent="0.25">
      <c r="A537" s="1">
        <v>44651</v>
      </c>
      <c r="B537" t="str">
        <f>"2718"</f>
        <v>2718</v>
      </c>
      <c r="C537" t="str">
        <f>"Начисленные расходы по текущим счетам клиентов"</f>
        <v>Начисленные расходы по текущим счетам клиентов</v>
      </c>
      <c r="D537" t="str">
        <f t="shared" si="104"/>
        <v>1</v>
      </c>
      <c r="E537" t="str">
        <f>"9"</f>
        <v>9</v>
      </c>
      <c r="F537" t="str">
        <f>"1"</f>
        <v>1</v>
      </c>
      <c r="G537" s="2">
        <v>1950946.78</v>
      </c>
    </row>
    <row r="538" spans="1:7" x14ac:dyDescent="0.25">
      <c r="A538" s="1">
        <v>44651</v>
      </c>
      <c r="B538" t="str">
        <f t="shared" ref="B538:B548" si="105">"2719"</f>
        <v>2719</v>
      </c>
      <c r="C538" t="str">
        <f t="shared" ref="C538:C548" si="106">"Начисленные расходы по условным вкладам клиентов"</f>
        <v>Начисленные расходы по условным вкладам клиентов</v>
      </c>
      <c r="D538" t="str">
        <f t="shared" si="104"/>
        <v>1</v>
      </c>
      <c r="E538" t="str">
        <f>"5"</f>
        <v>5</v>
      </c>
      <c r="F538" t="str">
        <f>"1"</f>
        <v>1</v>
      </c>
      <c r="G538" s="2">
        <v>277401.84999999998</v>
      </c>
    </row>
    <row r="539" spans="1:7" x14ac:dyDescent="0.25">
      <c r="A539" s="1">
        <v>44651</v>
      </c>
      <c r="B539" t="str">
        <f t="shared" si="105"/>
        <v>2719</v>
      </c>
      <c r="C539" t="str">
        <f t="shared" si="106"/>
        <v>Начисленные расходы по условным вкладам клиентов</v>
      </c>
      <c r="D539" t="str">
        <f t="shared" si="104"/>
        <v>1</v>
      </c>
      <c r="E539" t="str">
        <f>"6"</f>
        <v>6</v>
      </c>
      <c r="F539" t="str">
        <f>"1"</f>
        <v>1</v>
      </c>
      <c r="G539" s="2">
        <v>82237.38</v>
      </c>
    </row>
    <row r="540" spans="1:7" x14ac:dyDescent="0.25">
      <c r="A540" s="1">
        <v>44651</v>
      </c>
      <c r="B540" t="str">
        <f t="shared" si="105"/>
        <v>2719</v>
      </c>
      <c r="C540" t="str">
        <f t="shared" si="106"/>
        <v>Начисленные расходы по условным вкладам клиентов</v>
      </c>
      <c r="D540" t="str">
        <f t="shared" si="104"/>
        <v>1</v>
      </c>
      <c r="E540" t="str">
        <f>"6"</f>
        <v>6</v>
      </c>
      <c r="F540" t="str">
        <f>"2"</f>
        <v>2</v>
      </c>
      <c r="G540" s="2">
        <v>13.99</v>
      </c>
    </row>
    <row r="541" spans="1:7" x14ac:dyDescent="0.25">
      <c r="A541" s="1">
        <v>44651</v>
      </c>
      <c r="B541" t="str">
        <f t="shared" si="105"/>
        <v>2719</v>
      </c>
      <c r="C541" t="str">
        <f t="shared" si="106"/>
        <v>Начисленные расходы по условным вкладам клиентов</v>
      </c>
      <c r="D541" t="str">
        <f t="shared" si="104"/>
        <v>1</v>
      </c>
      <c r="E541" t="str">
        <f>"7"</f>
        <v>7</v>
      </c>
      <c r="F541" t="str">
        <f>"1"</f>
        <v>1</v>
      </c>
      <c r="G541" s="2">
        <v>81888407.290000007</v>
      </c>
    </row>
    <row r="542" spans="1:7" x14ac:dyDescent="0.25">
      <c r="A542" s="1">
        <v>44651</v>
      </c>
      <c r="B542" t="str">
        <f t="shared" si="105"/>
        <v>2719</v>
      </c>
      <c r="C542" t="str">
        <f t="shared" si="106"/>
        <v>Начисленные расходы по условным вкладам клиентов</v>
      </c>
      <c r="D542" t="str">
        <f t="shared" si="104"/>
        <v>1</v>
      </c>
      <c r="E542" t="str">
        <f>"7"</f>
        <v>7</v>
      </c>
      <c r="F542" t="str">
        <f>"2"</f>
        <v>2</v>
      </c>
      <c r="G542" s="2">
        <v>21080851.399999999</v>
      </c>
    </row>
    <row r="543" spans="1:7" x14ac:dyDescent="0.25">
      <c r="A543" s="1">
        <v>44651</v>
      </c>
      <c r="B543" t="str">
        <f t="shared" si="105"/>
        <v>2719</v>
      </c>
      <c r="C543" t="str">
        <f t="shared" si="106"/>
        <v>Начисленные расходы по условным вкладам клиентов</v>
      </c>
      <c r="D543" t="str">
        <f t="shared" si="104"/>
        <v>1</v>
      </c>
      <c r="E543" t="str">
        <f>"8"</f>
        <v>8</v>
      </c>
      <c r="F543" t="str">
        <f>"1"</f>
        <v>1</v>
      </c>
      <c r="G543" s="2">
        <v>16623.86</v>
      </c>
    </row>
    <row r="544" spans="1:7" x14ac:dyDescent="0.25">
      <c r="A544" s="1">
        <v>44651</v>
      </c>
      <c r="B544" t="str">
        <f t="shared" si="105"/>
        <v>2719</v>
      </c>
      <c r="C544" t="str">
        <f t="shared" si="106"/>
        <v>Начисленные расходы по условным вкладам клиентов</v>
      </c>
      <c r="D544" t="str">
        <f t="shared" si="104"/>
        <v>1</v>
      </c>
      <c r="E544" t="str">
        <f>"9"</f>
        <v>9</v>
      </c>
      <c r="F544" t="str">
        <f>"1"</f>
        <v>1</v>
      </c>
      <c r="G544" s="2">
        <v>692901.99</v>
      </c>
    </row>
    <row r="545" spans="1:7" x14ac:dyDescent="0.25">
      <c r="A545" s="1">
        <v>44651</v>
      </c>
      <c r="B545" t="str">
        <f t="shared" si="105"/>
        <v>2719</v>
      </c>
      <c r="C545" t="str">
        <f t="shared" si="106"/>
        <v>Начисленные расходы по условным вкладам клиентов</v>
      </c>
      <c r="D545" t="str">
        <f>"2"</f>
        <v>2</v>
      </c>
      <c r="E545" t="str">
        <f>"6"</f>
        <v>6</v>
      </c>
      <c r="F545" t="str">
        <f>"2"</f>
        <v>2</v>
      </c>
      <c r="G545" s="2">
        <v>628553.24</v>
      </c>
    </row>
    <row r="546" spans="1:7" x14ac:dyDescent="0.25">
      <c r="A546" s="1">
        <v>44651</v>
      </c>
      <c r="B546" t="str">
        <f t="shared" si="105"/>
        <v>2719</v>
      </c>
      <c r="C546" t="str">
        <f t="shared" si="106"/>
        <v>Начисленные расходы по условным вкладам клиентов</v>
      </c>
      <c r="D546" t="str">
        <f>"2"</f>
        <v>2</v>
      </c>
      <c r="E546" t="str">
        <f>"7"</f>
        <v>7</v>
      </c>
      <c r="F546" t="str">
        <f>"1"</f>
        <v>1</v>
      </c>
      <c r="G546" s="2">
        <v>12552.67</v>
      </c>
    </row>
    <row r="547" spans="1:7" x14ac:dyDescent="0.25">
      <c r="A547" s="1">
        <v>44651</v>
      </c>
      <c r="B547" t="str">
        <f t="shared" si="105"/>
        <v>2719</v>
      </c>
      <c r="C547" t="str">
        <f t="shared" si="106"/>
        <v>Начисленные расходы по условным вкладам клиентов</v>
      </c>
      <c r="D547" t="str">
        <f>"2"</f>
        <v>2</v>
      </c>
      <c r="E547" t="str">
        <f>"8"</f>
        <v>8</v>
      </c>
      <c r="F547" t="str">
        <f>"3"</f>
        <v>3</v>
      </c>
      <c r="G547" s="2">
        <v>71013.279999999999</v>
      </c>
    </row>
    <row r="548" spans="1:7" x14ac:dyDescent="0.25">
      <c r="A548" s="1">
        <v>44651</v>
      </c>
      <c r="B548" t="str">
        <f t="shared" si="105"/>
        <v>2719</v>
      </c>
      <c r="C548" t="str">
        <f t="shared" si="106"/>
        <v>Начисленные расходы по условным вкладам клиентов</v>
      </c>
      <c r="D548" t="str">
        <f>"2"</f>
        <v>2</v>
      </c>
      <c r="E548" t="str">
        <f>"9"</f>
        <v>9</v>
      </c>
      <c r="F548" t="str">
        <f>"1"</f>
        <v>1</v>
      </c>
      <c r="G548" s="2">
        <v>1754.06</v>
      </c>
    </row>
    <row r="549" spans="1:7" x14ac:dyDescent="0.25">
      <c r="A549" s="1">
        <v>44651</v>
      </c>
      <c r="B549" t="str">
        <f>"2720"</f>
        <v>2720</v>
      </c>
      <c r="C549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549" t="str">
        <f>"1"</f>
        <v>1</v>
      </c>
      <c r="E549" t="str">
        <f>"7"</f>
        <v>7</v>
      </c>
      <c r="F549" t="str">
        <f>"1"</f>
        <v>1</v>
      </c>
      <c r="G549" s="2">
        <v>49576.81</v>
      </c>
    </row>
    <row r="550" spans="1:7" x14ac:dyDescent="0.25">
      <c r="A550" s="1">
        <v>44651</v>
      </c>
      <c r="B550" t="str">
        <f>"2720"</f>
        <v>2720</v>
      </c>
      <c r="C550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550" t="str">
        <f>"1"</f>
        <v>1</v>
      </c>
      <c r="E550" t="str">
        <f>"9"</f>
        <v>9</v>
      </c>
      <c r="F550" t="str">
        <f>"1"</f>
        <v>1</v>
      </c>
      <c r="G550" s="2">
        <v>138816.51999999999</v>
      </c>
    </row>
    <row r="551" spans="1:7" x14ac:dyDescent="0.25">
      <c r="A551" s="1">
        <v>44651</v>
      </c>
      <c r="B551" t="str">
        <f>"2720"</f>
        <v>2720</v>
      </c>
      <c r="C55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551" t="str">
        <f>"1"</f>
        <v>1</v>
      </c>
      <c r="E551" t="str">
        <f>"9"</f>
        <v>9</v>
      </c>
      <c r="F551" t="str">
        <f>"2"</f>
        <v>2</v>
      </c>
      <c r="G551" s="2">
        <v>358.95</v>
      </c>
    </row>
    <row r="552" spans="1:7" x14ac:dyDescent="0.25">
      <c r="A552" s="1">
        <v>44651</v>
      </c>
      <c r="B552" t="str">
        <f>"2720"</f>
        <v>2720</v>
      </c>
      <c r="C552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552" t="str">
        <f>"2"</f>
        <v>2</v>
      </c>
      <c r="E552" t="str">
        <f>"9"</f>
        <v>9</v>
      </c>
      <c r="F552" t="str">
        <f>"1"</f>
        <v>1</v>
      </c>
      <c r="G552" s="2">
        <v>686.76</v>
      </c>
    </row>
    <row r="553" spans="1:7" x14ac:dyDescent="0.25">
      <c r="A553" s="1">
        <v>44651</v>
      </c>
      <c r="B553" t="str">
        <f t="shared" ref="B553:B566" si="107">"2721"</f>
        <v>2721</v>
      </c>
      <c r="C553" t="str">
        <f t="shared" ref="C553:C566" si="108">"Начисленные расходы по срочным вкладам клиентов"</f>
        <v>Начисленные расходы по срочным вкладам клиентов</v>
      </c>
      <c r="D553" t="str">
        <f t="shared" ref="D553:D563" si="109">"1"</f>
        <v>1</v>
      </c>
      <c r="E553" t="str">
        <f>"5"</f>
        <v>5</v>
      </c>
      <c r="F553" t="str">
        <f>"1"</f>
        <v>1</v>
      </c>
      <c r="G553" s="2">
        <v>521823418.38999999</v>
      </c>
    </row>
    <row r="554" spans="1:7" x14ac:dyDescent="0.25">
      <c r="A554" s="1">
        <v>44651</v>
      </c>
      <c r="B554" t="str">
        <f t="shared" si="107"/>
        <v>2721</v>
      </c>
      <c r="C554" t="str">
        <f t="shared" si="108"/>
        <v>Начисленные расходы по срочным вкладам клиентов</v>
      </c>
      <c r="D554" t="str">
        <f t="shared" si="109"/>
        <v>1</v>
      </c>
      <c r="E554" t="str">
        <f>"5"</f>
        <v>5</v>
      </c>
      <c r="F554" t="str">
        <f>"2"</f>
        <v>2</v>
      </c>
      <c r="G554" s="2">
        <v>0</v>
      </c>
    </row>
    <row r="555" spans="1:7" x14ac:dyDescent="0.25">
      <c r="A555" s="1">
        <v>44651</v>
      </c>
      <c r="B555" t="str">
        <f t="shared" si="107"/>
        <v>2721</v>
      </c>
      <c r="C555" t="str">
        <f t="shared" si="108"/>
        <v>Начисленные расходы по срочным вкладам клиентов</v>
      </c>
      <c r="D555" t="str">
        <f t="shared" si="109"/>
        <v>1</v>
      </c>
      <c r="E555" t="str">
        <f>"6"</f>
        <v>6</v>
      </c>
      <c r="F555" t="str">
        <f>"1"</f>
        <v>1</v>
      </c>
      <c r="G555" s="2">
        <v>104301414.48999999</v>
      </c>
    </row>
    <row r="556" spans="1:7" x14ac:dyDescent="0.25">
      <c r="A556" s="1">
        <v>44651</v>
      </c>
      <c r="B556" t="str">
        <f t="shared" si="107"/>
        <v>2721</v>
      </c>
      <c r="C556" t="str">
        <f t="shared" si="108"/>
        <v>Начисленные расходы по срочным вкладам клиентов</v>
      </c>
      <c r="D556" t="str">
        <f t="shared" si="109"/>
        <v>1</v>
      </c>
      <c r="E556" t="str">
        <f>"6"</f>
        <v>6</v>
      </c>
      <c r="F556" t="str">
        <f>"2"</f>
        <v>2</v>
      </c>
      <c r="G556" s="2">
        <v>2651079.6</v>
      </c>
    </row>
    <row r="557" spans="1:7" x14ac:dyDescent="0.25">
      <c r="A557" s="1">
        <v>44651</v>
      </c>
      <c r="B557" t="str">
        <f t="shared" si="107"/>
        <v>2721</v>
      </c>
      <c r="C557" t="str">
        <f t="shared" si="108"/>
        <v>Начисленные расходы по срочным вкладам клиентов</v>
      </c>
      <c r="D557" t="str">
        <f t="shared" si="109"/>
        <v>1</v>
      </c>
      <c r="E557" t="str">
        <f>"7"</f>
        <v>7</v>
      </c>
      <c r="F557" t="str">
        <f>"1"</f>
        <v>1</v>
      </c>
      <c r="G557" s="2">
        <v>222384778.31</v>
      </c>
    </row>
    <row r="558" spans="1:7" x14ac:dyDescent="0.25">
      <c r="A558" s="1">
        <v>44651</v>
      </c>
      <c r="B558" t="str">
        <f t="shared" si="107"/>
        <v>2721</v>
      </c>
      <c r="C558" t="str">
        <f t="shared" si="108"/>
        <v>Начисленные расходы по срочным вкладам клиентов</v>
      </c>
      <c r="D558" t="str">
        <f t="shared" si="109"/>
        <v>1</v>
      </c>
      <c r="E558" t="str">
        <f>"7"</f>
        <v>7</v>
      </c>
      <c r="F558" t="str">
        <f>"2"</f>
        <v>2</v>
      </c>
      <c r="G558" s="2">
        <v>46939734.530000001</v>
      </c>
    </row>
    <row r="559" spans="1:7" x14ac:dyDescent="0.25">
      <c r="A559" s="1">
        <v>44651</v>
      </c>
      <c r="B559" t="str">
        <f t="shared" si="107"/>
        <v>2721</v>
      </c>
      <c r="C559" t="str">
        <f t="shared" si="108"/>
        <v>Начисленные расходы по срочным вкладам клиентов</v>
      </c>
      <c r="D559" t="str">
        <f t="shared" si="109"/>
        <v>1</v>
      </c>
      <c r="E559" t="str">
        <f>"8"</f>
        <v>8</v>
      </c>
      <c r="F559" t="str">
        <f>"1"</f>
        <v>1</v>
      </c>
      <c r="G559" s="2">
        <v>315344385.44999999</v>
      </c>
    </row>
    <row r="560" spans="1:7" x14ac:dyDescent="0.25">
      <c r="A560" s="1">
        <v>44651</v>
      </c>
      <c r="B560" t="str">
        <f t="shared" si="107"/>
        <v>2721</v>
      </c>
      <c r="C560" t="str">
        <f t="shared" si="108"/>
        <v>Начисленные расходы по срочным вкладам клиентов</v>
      </c>
      <c r="D560" t="str">
        <f t="shared" si="109"/>
        <v>1</v>
      </c>
      <c r="E560" t="str">
        <f>"8"</f>
        <v>8</v>
      </c>
      <c r="F560" t="str">
        <f>"2"</f>
        <v>2</v>
      </c>
      <c r="G560" s="2">
        <v>329098.28000000003</v>
      </c>
    </row>
    <row r="561" spans="1:7" x14ac:dyDescent="0.25">
      <c r="A561" s="1">
        <v>44651</v>
      </c>
      <c r="B561" t="str">
        <f t="shared" si="107"/>
        <v>2721</v>
      </c>
      <c r="C561" t="str">
        <f t="shared" si="108"/>
        <v>Начисленные расходы по срочным вкладам клиентов</v>
      </c>
      <c r="D561" t="str">
        <f t="shared" si="109"/>
        <v>1</v>
      </c>
      <c r="E561" t="str">
        <f>"9"</f>
        <v>9</v>
      </c>
      <c r="F561" t="str">
        <f>"1"</f>
        <v>1</v>
      </c>
      <c r="G561" s="2">
        <v>26847067.859999999</v>
      </c>
    </row>
    <row r="562" spans="1:7" x14ac:dyDescent="0.25">
      <c r="A562" s="1">
        <v>44651</v>
      </c>
      <c r="B562" t="str">
        <f t="shared" si="107"/>
        <v>2721</v>
      </c>
      <c r="C562" t="str">
        <f t="shared" si="108"/>
        <v>Начисленные расходы по срочным вкладам клиентов</v>
      </c>
      <c r="D562" t="str">
        <f t="shared" si="109"/>
        <v>1</v>
      </c>
      <c r="E562" t="str">
        <f>"9"</f>
        <v>9</v>
      </c>
      <c r="F562" t="str">
        <f>"2"</f>
        <v>2</v>
      </c>
      <c r="G562" s="2">
        <v>10483848.789999999</v>
      </c>
    </row>
    <row r="563" spans="1:7" x14ac:dyDescent="0.25">
      <c r="A563" s="1">
        <v>44651</v>
      </c>
      <c r="B563" t="str">
        <f t="shared" si="107"/>
        <v>2721</v>
      </c>
      <c r="C563" t="str">
        <f t="shared" si="108"/>
        <v>Начисленные расходы по срочным вкладам клиентов</v>
      </c>
      <c r="D563" t="str">
        <f t="shared" si="109"/>
        <v>1</v>
      </c>
      <c r="E563" t="str">
        <f>"9"</f>
        <v>9</v>
      </c>
      <c r="F563" t="str">
        <f>"3"</f>
        <v>3</v>
      </c>
      <c r="G563" s="2">
        <v>2386.09</v>
      </c>
    </row>
    <row r="564" spans="1:7" x14ac:dyDescent="0.25">
      <c r="A564" s="1">
        <v>44651</v>
      </c>
      <c r="B564" t="str">
        <f t="shared" si="107"/>
        <v>2721</v>
      </c>
      <c r="C564" t="str">
        <f t="shared" si="108"/>
        <v>Начисленные расходы по срочным вкладам клиентов</v>
      </c>
      <c r="D564" t="str">
        <f>"2"</f>
        <v>2</v>
      </c>
      <c r="E564" t="str">
        <f>"7"</f>
        <v>7</v>
      </c>
      <c r="F564" t="str">
        <f>"1"</f>
        <v>1</v>
      </c>
      <c r="G564" s="2">
        <v>43579589.039999999</v>
      </c>
    </row>
    <row r="565" spans="1:7" x14ac:dyDescent="0.25">
      <c r="A565" s="1">
        <v>44651</v>
      </c>
      <c r="B565" t="str">
        <f t="shared" si="107"/>
        <v>2721</v>
      </c>
      <c r="C565" t="str">
        <f t="shared" si="108"/>
        <v>Начисленные расходы по срочным вкладам клиентов</v>
      </c>
      <c r="D565" t="str">
        <f>"2"</f>
        <v>2</v>
      </c>
      <c r="E565" t="str">
        <f>"9"</f>
        <v>9</v>
      </c>
      <c r="F565" t="str">
        <f>"1"</f>
        <v>1</v>
      </c>
      <c r="G565" s="2">
        <v>211390.17</v>
      </c>
    </row>
    <row r="566" spans="1:7" x14ac:dyDescent="0.25">
      <c r="A566" s="1">
        <v>44651</v>
      </c>
      <c r="B566" t="str">
        <f t="shared" si="107"/>
        <v>2721</v>
      </c>
      <c r="C566" t="str">
        <f t="shared" si="108"/>
        <v>Начисленные расходы по срочным вкладам клиентов</v>
      </c>
      <c r="D566" t="str">
        <f>"2"</f>
        <v>2</v>
      </c>
      <c r="E566" t="str">
        <f>"9"</f>
        <v>9</v>
      </c>
      <c r="F566" t="str">
        <f>"2"</f>
        <v>2</v>
      </c>
      <c r="G566" s="2">
        <v>28328.799999999999</v>
      </c>
    </row>
    <row r="567" spans="1:7" x14ac:dyDescent="0.25">
      <c r="A567" s="1">
        <v>44651</v>
      </c>
      <c r="B567" t="str">
        <f t="shared" ref="B567:B573" si="110">"2723"</f>
        <v>2723</v>
      </c>
      <c r="C567" t="str">
        <f t="shared" ref="C567:C573" si="111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D567" t="str">
        <f>"1"</f>
        <v>1</v>
      </c>
      <c r="E567" t="str">
        <f>"6"</f>
        <v>6</v>
      </c>
      <c r="F567" t="str">
        <f>"1"</f>
        <v>1</v>
      </c>
      <c r="G567" s="2">
        <v>7129563.4900000002</v>
      </c>
    </row>
    <row r="568" spans="1:7" x14ac:dyDescent="0.25">
      <c r="A568" s="1">
        <v>44651</v>
      </c>
      <c r="B568" t="str">
        <f t="shared" si="110"/>
        <v>2723</v>
      </c>
      <c r="C568" t="str">
        <f t="shared" si="111"/>
        <v>Начисленные расходы по вкладу, являющемуся обеспечением обязательств клиентов</v>
      </c>
      <c r="D568" t="str">
        <f>"1"</f>
        <v>1</v>
      </c>
      <c r="E568" t="str">
        <f>"7"</f>
        <v>7</v>
      </c>
      <c r="F568" t="str">
        <f>"1"</f>
        <v>1</v>
      </c>
      <c r="G568" s="2">
        <v>36701297.539999999</v>
      </c>
    </row>
    <row r="569" spans="1:7" x14ac:dyDescent="0.25">
      <c r="A569" s="1">
        <v>44651</v>
      </c>
      <c r="B569" t="str">
        <f t="shared" si="110"/>
        <v>2723</v>
      </c>
      <c r="C569" t="str">
        <f t="shared" si="111"/>
        <v>Начисленные расходы по вкладу, являющемуся обеспечением обязательств клиентов</v>
      </c>
      <c r="D569" t="str">
        <f>"1"</f>
        <v>1</v>
      </c>
      <c r="E569" t="str">
        <f>"7"</f>
        <v>7</v>
      </c>
      <c r="F569" t="str">
        <f>"2"</f>
        <v>2</v>
      </c>
      <c r="G569" s="2">
        <v>4497571.25</v>
      </c>
    </row>
    <row r="570" spans="1:7" x14ac:dyDescent="0.25">
      <c r="A570" s="1">
        <v>44651</v>
      </c>
      <c r="B570" t="str">
        <f t="shared" si="110"/>
        <v>2723</v>
      </c>
      <c r="C570" t="str">
        <f t="shared" si="111"/>
        <v>Начисленные расходы по вкладу, являющемуся обеспечением обязательств клиентов</v>
      </c>
      <c r="D570" t="str">
        <f>"1"</f>
        <v>1</v>
      </c>
      <c r="E570" t="str">
        <f>"9"</f>
        <v>9</v>
      </c>
      <c r="F570" t="str">
        <f>"1"</f>
        <v>1</v>
      </c>
      <c r="G570" s="2">
        <v>95197683.829999998</v>
      </c>
    </row>
    <row r="571" spans="1:7" x14ac:dyDescent="0.25">
      <c r="A571" s="1">
        <v>44651</v>
      </c>
      <c r="B571" t="str">
        <f t="shared" si="110"/>
        <v>2723</v>
      </c>
      <c r="C571" t="str">
        <f t="shared" si="111"/>
        <v>Начисленные расходы по вкладу, являющемуся обеспечением обязательств клиентов</v>
      </c>
      <c r="D571" t="str">
        <f>"1"</f>
        <v>1</v>
      </c>
      <c r="E571" t="str">
        <f>"9"</f>
        <v>9</v>
      </c>
      <c r="F571" t="str">
        <f>"2"</f>
        <v>2</v>
      </c>
      <c r="G571" s="2">
        <v>35718166.25</v>
      </c>
    </row>
    <row r="572" spans="1:7" x14ac:dyDescent="0.25">
      <c r="A572" s="1">
        <v>44651</v>
      </c>
      <c r="B572" t="str">
        <f t="shared" si="110"/>
        <v>2723</v>
      </c>
      <c r="C572" t="str">
        <f t="shared" si="111"/>
        <v>Начисленные расходы по вкладу, являющемуся обеспечением обязательств клиентов</v>
      </c>
      <c r="D572" t="str">
        <f>"2"</f>
        <v>2</v>
      </c>
      <c r="E572" t="str">
        <f>"7"</f>
        <v>7</v>
      </c>
      <c r="F572" t="str">
        <f>"2"</f>
        <v>2</v>
      </c>
      <c r="G572" s="2">
        <v>12237760.369999999</v>
      </c>
    </row>
    <row r="573" spans="1:7" x14ac:dyDescent="0.25">
      <c r="A573" s="1">
        <v>44651</v>
      </c>
      <c r="B573" t="str">
        <f t="shared" si="110"/>
        <v>2723</v>
      </c>
      <c r="C573" t="str">
        <f t="shared" si="111"/>
        <v>Начисленные расходы по вкладу, являющемуся обеспечением обязательств клиентов</v>
      </c>
      <c r="D573" t="str">
        <f>"2"</f>
        <v>2</v>
      </c>
      <c r="E573" t="str">
        <f>"9"</f>
        <v>9</v>
      </c>
      <c r="F573" t="str">
        <f>"2"</f>
        <v>2</v>
      </c>
      <c r="G573" s="2">
        <v>0</v>
      </c>
    </row>
    <row r="574" spans="1:7" x14ac:dyDescent="0.25">
      <c r="A574" s="1">
        <v>44651</v>
      </c>
      <c r="B574" t="str">
        <f>"2724"</f>
        <v>2724</v>
      </c>
      <c r="C574" t="str">
        <f>"Начисленные расходы по сберегательным вкладам клиентов"</f>
        <v>Начисленные расходы по сберегательным вкладам клиентов</v>
      </c>
      <c r="D574" t="str">
        <f>"1"</f>
        <v>1</v>
      </c>
      <c r="E574" t="str">
        <f>"9"</f>
        <v>9</v>
      </c>
      <c r="F574" t="str">
        <f>"1"</f>
        <v>1</v>
      </c>
      <c r="G574" s="2">
        <v>3678377.14</v>
      </c>
    </row>
    <row r="575" spans="1:7" x14ac:dyDescent="0.25">
      <c r="A575" s="1">
        <v>44651</v>
      </c>
      <c r="B575" t="str">
        <f>"2724"</f>
        <v>2724</v>
      </c>
      <c r="C575" t="str">
        <f>"Начисленные расходы по сберегательным вкладам клиентов"</f>
        <v>Начисленные расходы по сберегательным вкладам клиентов</v>
      </c>
      <c r="D575" t="str">
        <f>"2"</f>
        <v>2</v>
      </c>
      <c r="E575" t="str">
        <f>"9"</f>
        <v>9</v>
      </c>
      <c r="F575" t="str">
        <f>"1"</f>
        <v>1</v>
      </c>
      <c r="G575" s="2">
        <v>642.57000000000005</v>
      </c>
    </row>
    <row r="576" spans="1:7" x14ac:dyDescent="0.25">
      <c r="A576" s="1">
        <v>44651</v>
      </c>
      <c r="B576" t="str">
        <f>"2725"</f>
        <v>2725</v>
      </c>
      <c r="C576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D576" t="str">
        <f>"1"</f>
        <v>1</v>
      </c>
      <c r="E576" t="str">
        <f>"5"</f>
        <v>5</v>
      </c>
      <c r="F576" t="str">
        <f>"1"</f>
        <v>1</v>
      </c>
      <c r="G576" s="2">
        <v>83617655.030000001</v>
      </c>
    </row>
    <row r="577" spans="1:7" x14ac:dyDescent="0.25">
      <c r="A577" s="1">
        <v>44651</v>
      </c>
      <c r="B577" t="str">
        <f>"2730"</f>
        <v>2730</v>
      </c>
      <c r="C57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D577" t="str">
        <f>"1"</f>
        <v>1</v>
      </c>
      <c r="E577" t="str">
        <f>"5"</f>
        <v>5</v>
      </c>
      <c r="F577" t="str">
        <f>"1"</f>
        <v>1</v>
      </c>
      <c r="G577" s="2">
        <v>3452312339.5999999</v>
      </c>
    </row>
    <row r="578" spans="1:7" x14ac:dyDescent="0.25">
      <c r="A578" s="1">
        <v>44651</v>
      </c>
      <c r="B578" t="str">
        <f>"2730"</f>
        <v>2730</v>
      </c>
      <c r="C578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D578" t="str">
        <f>"1"</f>
        <v>1</v>
      </c>
      <c r="E578" t="str">
        <f>"5"</f>
        <v>5</v>
      </c>
      <c r="F578" t="str">
        <f>"2"</f>
        <v>2</v>
      </c>
      <c r="G578" s="2">
        <v>337880466.60000002</v>
      </c>
    </row>
    <row r="579" spans="1:7" x14ac:dyDescent="0.25">
      <c r="A579" s="1">
        <v>44651</v>
      </c>
      <c r="B579" t="str">
        <f>"2730"</f>
        <v>2730</v>
      </c>
      <c r="C57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D579" t="str">
        <f>"2"</f>
        <v>2</v>
      </c>
      <c r="E579" t="str">
        <f>"4"</f>
        <v>4</v>
      </c>
      <c r="F579" t="str">
        <f>"2"</f>
        <v>2</v>
      </c>
      <c r="G579" s="2">
        <v>585591174.71000004</v>
      </c>
    </row>
    <row r="580" spans="1:7" x14ac:dyDescent="0.25">
      <c r="A580" s="1">
        <v>44651</v>
      </c>
      <c r="B580" t="str">
        <f>"2731"</f>
        <v>2731</v>
      </c>
      <c r="C580" t="str">
        <f>"Начисленные расходы по прочим операциям"</f>
        <v>Начисленные расходы по прочим операциям</v>
      </c>
      <c r="D580" t="str">
        <f t="shared" ref="D580:D588" si="112">"1"</f>
        <v>1</v>
      </c>
      <c r="E580" t="str">
        <f>"5"</f>
        <v>5</v>
      </c>
      <c r="F580" t="str">
        <f t="shared" ref="F580:F595" si="113">"1"</f>
        <v>1</v>
      </c>
      <c r="G580" s="2">
        <v>380856000</v>
      </c>
    </row>
    <row r="581" spans="1:7" x14ac:dyDescent="0.25">
      <c r="A581" s="1">
        <v>44651</v>
      </c>
      <c r="B581" t="str">
        <f>"2756"</f>
        <v>2756</v>
      </c>
      <c r="C581" t="str">
        <f>"Начисленные расходы по субординированным облигациям"</f>
        <v>Начисленные расходы по субординированным облигациям</v>
      </c>
      <c r="D581" t="str">
        <f t="shared" si="112"/>
        <v>1</v>
      </c>
      <c r="E581" t="str">
        <f>"5"</f>
        <v>5</v>
      </c>
      <c r="F581" t="str">
        <f t="shared" si="113"/>
        <v>1</v>
      </c>
      <c r="G581" s="2">
        <v>594585717.15999997</v>
      </c>
    </row>
    <row r="582" spans="1:7" x14ac:dyDescent="0.25">
      <c r="A582" s="1">
        <v>44651</v>
      </c>
      <c r="B582" t="str">
        <f t="shared" ref="B582:B589" si="114">"2770"</f>
        <v>2770</v>
      </c>
      <c r="C582" t="str">
        <f t="shared" ref="C582:C589" si="115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D582" t="str">
        <f t="shared" si="112"/>
        <v>1</v>
      </c>
      <c r="E582" t="str">
        <f>"1"</f>
        <v>1</v>
      </c>
      <c r="F582" t="str">
        <f t="shared" si="113"/>
        <v>1</v>
      </c>
      <c r="G582" s="2">
        <v>33426748.539999999</v>
      </c>
    </row>
    <row r="583" spans="1:7" x14ac:dyDescent="0.25">
      <c r="A583" s="1">
        <v>44651</v>
      </c>
      <c r="B583" t="str">
        <f t="shared" si="114"/>
        <v>2770</v>
      </c>
      <c r="C583" t="str">
        <f t="shared" si="115"/>
        <v>Начисленные расходы по административно-хозяйственной деятельности</v>
      </c>
      <c r="D583" t="str">
        <f t="shared" si="112"/>
        <v>1</v>
      </c>
      <c r="E583" t="str">
        <f>"4"</f>
        <v>4</v>
      </c>
      <c r="F583" t="str">
        <f t="shared" si="113"/>
        <v>1</v>
      </c>
      <c r="G583" s="2">
        <v>1804651231.5999999</v>
      </c>
    </row>
    <row r="584" spans="1:7" x14ac:dyDescent="0.25">
      <c r="A584" s="1">
        <v>44651</v>
      </c>
      <c r="B584" t="str">
        <f t="shared" si="114"/>
        <v>2770</v>
      </c>
      <c r="C584" t="str">
        <f t="shared" si="115"/>
        <v>Начисленные расходы по административно-хозяйственной деятельности</v>
      </c>
      <c r="D584" t="str">
        <f t="shared" si="112"/>
        <v>1</v>
      </c>
      <c r="E584" t="str">
        <f>"5"</f>
        <v>5</v>
      </c>
      <c r="F584" t="str">
        <f t="shared" si="113"/>
        <v>1</v>
      </c>
      <c r="G584" s="2">
        <v>71076878.290000007</v>
      </c>
    </row>
    <row r="585" spans="1:7" x14ac:dyDescent="0.25">
      <c r="A585" s="1">
        <v>44651</v>
      </c>
      <c r="B585" t="str">
        <f t="shared" si="114"/>
        <v>2770</v>
      </c>
      <c r="C585" t="str">
        <f t="shared" si="115"/>
        <v>Начисленные расходы по административно-хозяйственной деятельности</v>
      </c>
      <c r="D585" t="str">
        <f t="shared" si="112"/>
        <v>1</v>
      </c>
      <c r="E585" t="str">
        <f>"6"</f>
        <v>6</v>
      </c>
      <c r="F585" t="str">
        <f t="shared" si="113"/>
        <v>1</v>
      </c>
      <c r="G585" s="2">
        <v>48778372.950000003</v>
      </c>
    </row>
    <row r="586" spans="1:7" x14ac:dyDescent="0.25">
      <c r="A586" s="1">
        <v>44651</v>
      </c>
      <c r="B586" t="str">
        <f t="shared" si="114"/>
        <v>2770</v>
      </c>
      <c r="C586" t="str">
        <f t="shared" si="115"/>
        <v>Начисленные расходы по административно-хозяйственной деятельности</v>
      </c>
      <c r="D586" t="str">
        <f t="shared" si="112"/>
        <v>1</v>
      </c>
      <c r="E586" t="str">
        <f>"7"</f>
        <v>7</v>
      </c>
      <c r="F586" t="str">
        <f t="shared" si="113"/>
        <v>1</v>
      </c>
      <c r="G586" s="2">
        <v>829811128.08000004</v>
      </c>
    </row>
    <row r="587" spans="1:7" x14ac:dyDescent="0.25">
      <c r="A587" s="1">
        <v>44651</v>
      </c>
      <c r="B587" t="str">
        <f t="shared" si="114"/>
        <v>2770</v>
      </c>
      <c r="C587" t="str">
        <f t="shared" si="115"/>
        <v>Начисленные расходы по административно-хозяйственной деятельности</v>
      </c>
      <c r="D587" t="str">
        <f t="shared" si="112"/>
        <v>1</v>
      </c>
      <c r="E587" t="str">
        <f>"8"</f>
        <v>8</v>
      </c>
      <c r="F587" t="str">
        <f t="shared" si="113"/>
        <v>1</v>
      </c>
      <c r="G587" s="2">
        <v>3986171.53</v>
      </c>
    </row>
    <row r="588" spans="1:7" x14ac:dyDescent="0.25">
      <c r="A588" s="1">
        <v>44651</v>
      </c>
      <c r="B588" t="str">
        <f t="shared" si="114"/>
        <v>2770</v>
      </c>
      <c r="C588" t="str">
        <f t="shared" si="115"/>
        <v>Начисленные расходы по административно-хозяйственной деятельности</v>
      </c>
      <c r="D588" t="str">
        <f t="shared" si="112"/>
        <v>1</v>
      </c>
      <c r="E588" t="str">
        <f>"9"</f>
        <v>9</v>
      </c>
      <c r="F588" t="str">
        <f t="shared" si="113"/>
        <v>1</v>
      </c>
      <c r="G588" s="2">
        <v>54829915.25</v>
      </c>
    </row>
    <row r="589" spans="1:7" x14ac:dyDescent="0.25">
      <c r="A589" s="1">
        <v>44651</v>
      </c>
      <c r="B589" t="str">
        <f t="shared" si="114"/>
        <v>2770</v>
      </c>
      <c r="C589" t="str">
        <f t="shared" si="115"/>
        <v>Начисленные расходы по административно-хозяйственной деятельности</v>
      </c>
      <c r="D589" t="str">
        <f>"2"</f>
        <v>2</v>
      </c>
      <c r="E589" t="str">
        <f>"7"</f>
        <v>7</v>
      </c>
      <c r="F589" t="str">
        <f t="shared" si="113"/>
        <v>1</v>
      </c>
      <c r="G589" s="2">
        <v>488998574</v>
      </c>
    </row>
    <row r="590" spans="1:7" x14ac:dyDescent="0.25">
      <c r="A590" s="1">
        <v>44651</v>
      </c>
      <c r="B590" t="str">
        <f>"2792"</f>
        <v>2792</v>
      </c>
      <c r="C590" t="str">
        <f>"Предоплата вознаграждения по предоставленным займам"</f>
        <v>Предоплата вознаграждения по предоставленным займам</v>
      </c>
      <c r="D590" t="str">
        <f>"1"</f>
        <v>1</v>
      </c>
      <c r="E590" t="str">
        <f>"9"</f>
        <v>9</v>
      </c>
      <c r="F590" t="str">
        <f t="shared" si="113"/>
        <v>1</v>
      </c>
      <c r="G590" s="2">
        <v>605.04999999999995</v>
      </c>
    </row>
    <row r="591" spans="1:7" x14ac:dyDescent="0.25">
      <c r="A591" s="1">
        <v>44651</v>
      </c>
      <c r="B591" t="str">
        <f>"2794"</f>
        <v>2794</v>
      </c>
      <c r="C591" t="str">
        <f>"Доходы будущих периодов"</f>
        <v>Доходы будущих периодов</v>
      </c>
      <c r="D591" t="str">
        <f>"1"</f>
        <v>1</v>
      </c>
      <c r="E591" t="str">
        <f>"1"</f>
        <v>1</v>
      </c>
      <c r="F591" t="str">
        <f t="shared" si="113"/>
        <v>1</v>
      </c>
      <c r="G591" s="2">
        <v>5532.71</v>
      </c>
    </row>
    <row r="592" spans="1:7" x14ac:dyDescent="0.25">
      <c r="A592" s="1">
        <v>44651</v>
      </c>
      <c r="B592" t="str">
        <f>"2794"</f>
        <v>2794</v>
      </c>
      <c r="C592" t="str">
        <f>"Доходы будущих периодов"</f>
        <v>Доходы будущих периодов</v>
      </c>
      <c r="D592" t="str">
        <f>"1"</f>
        <v>1</v>
      </c>
      <c r="E592" t="str">
        <f>"5"</f>
        <v>5</v>
      </c>
      <c r="F592" t="str">
        <f t="shared" si="113"/>
        <v>1</v>
      </c>
      <c r="G592" s="2">
        <v>29864.13</v>
      </c>
    </row>
    <row r="593" spans="1:7" x14ac:dyDescent="0.25">
      <c r="A593" s="1">
        <v>44651</v>
      </c>
      <c r="B593" t="str">
        <f>"2794"</f>
        <v>2794</v>
      </c>
      <c r="C593" t="str">
        <f>"Доходы будущих периодов"</f>
        <v>Доходы будущих периодов</v>
      </c>
      <c r="D593" t="str">
        <f>"1"</f>
        <v>1</v>
      </c>
      <c r="E593" t="str">
        <f>"7"</f>
        <v>7</v>
      </c>
      <c r="F593" t="str">
        <f t="shared" si="113"/>
        <v>1</v>
      </c>
      <c r="G593" s="2">
        <v>89768.01</v>
      </c>
    </row>
    <row r="594" spans="1:7" x14ac:dyDescent="0.25">
      <c r="A594" s="1">
        <v>44651</v>
      </c>
      <c r="B594" t="str">
        <f>"2794"</f>
        <v>2794</v>
      </c>
      <c r="C594" t="str">
        <f>"Доходы будущих периодов"</f>
        <v>Доходы будущих периодов</v>
      </c>
      <c r="D594" t="str">
        <f>"1"</f>
        <v>1</v>
      </c>
      <c r="E594" t="str">
        <f>"9"</f>
        <v>9</v>
      </c>
      <c r="F594" t="str">
        <f t="shared" si="113"/>
        <v>1</v>
      </c>
      <c r="G594" s="2">
        <v>51881785.979999997</v>
      </c>
    </row>
    <row r="595" spans="1:7" x14ac:dyDescent="0.25">
      <c r="A595" s="1">
        <v>44651</v>
      </c>
      <c r="B595" t="str">
        <f>"2794"</f>
        <v>2794</v>
      </c>
      <c r="C595" t="str">
        <f>"Доходы будущих периодов"</f>
        <v>Доходы будущих периодов</v>
      </c>
      <c r="D595" t="str">
        <f>"2"</f>
        <v>2</v>
      </c>
      <c r="E595" t="str">
        <f>"9"</f>
        <v>9</v>
      </c>
      <c r="F595" t="str">
        <f t="shared" si="113"/>
        <v>1</v>
      </c>
      <c r="G595" s="2">
        <v>1381001.8</v>
      </c>
    </row>
    <row r="596" spans="1:7" x14ac:dyDescent="0.25">
      <c r="A596" s="1">
        <v>44651</v>
      </c>
      <c r="B596" t="str">
        <f t="shared" ref="B596:B603" si="116">"2799"</f>
        <v>2799</v>
      </c>
      <c r="C596" t="str">
        <f t="shared" ref="C596:C603" si="117">"Прочие предоплаты"</f>
        <v>Прочие предоплаты</v>
      </c>
      <c r="D596" t="str">
        <f t="shared" ref="D596:D601" si="118">"1"</f>
        <v>1</v>
      </c>
      <c r="E596" t="str">
        <f>"6"</f>
        <v>6</v>
      </c>
      <c r="F596" t="str">
        <f>"2"</f>
        <v>2</v>
      </c>
      <c r="G596" s="2">
        <v>2480.77</v>
      </c>
    </row>
    <row r="597" spans="1:7" x14ac:dyDescent="0.25">
      <c r="A597" s="1">
        <v>44651</v>
      </c>
      <c r="B597" t="str">
        <f t="shared" si="116"/>
        <v>2799</v>
      </c>
      <c r="C597" t="str">
        <f t="shared" si="117"/>
        <v>Прочие предоплаты</v>
      </c>
      <c r="D597" t="str">
        <f t="shared" si="118"/>
        <v>1</v>
      </c>
      <c r="E597" t="str">
        <f>"7"</f>
        <v>7</v>
      </c>
      <c r="F597" t="str">
        <f>"1"</f>
        <v>1</v>
      </c>
      <c r="G597" s="2">
        <v>17651752.75</v>
      </c>
    </row>
    <row r="598" spans="1:7" x14ac:dyDescent="0.25">
      <c r="A598" s="1">
        <v>44651</v>
      </c>
      <c r="B598" t="str">
        <f t="shared" si="116"/>
        <v>2799</v>
      </c>
      <c r="C598" t="str">
        <f t="shared" si="117"/>
        <v>Прочие предоплаты</v>
      </c>
      <c r="D598" t="str">
        <f t="shared" si="118"/>
        <v>1</v>
      </c>
      <c r="E598" t="str">
        <f>"7"</f>
        <v>7</v>
      </c>
      <c r="F598" t="str">
        <f>"2"</f>
        <v>2</v>
      </c>
      <c r="G598" s="2">
        <v>9093440.1899999995</v>
      </c>
    </row>
    <row r="599" spans="1:7" x14ac:dyDescent="0.25">
      <c r="A599" s="1">
        <v>44651</v>
      </c>
      <c r="B599" t="str">
        <f t="shared" si="116"/>
        <v>2799</v>
      </c>
      <c r="C599" t="str">
        <f t="shared" si="117"/>
        <v>Прочие предоплаты</v>
      </c>
      <c r="D599" t="str">
        <f t="shared" si="118"/>
        <v>1</v>
      </c>
      <c r="E599" t="str">
        <f>"9"</f>
        <v>9</v>
      </c>
      <c r="F599" t="str">
        <f>"1"</f>
        <v>1</v>
      </c>
      <c r="G599" s="2">
        <v>1396179010.77</v>
      </c>
    </row>
    <row r="600" spans="1:7" x14ac:dyDescent="0.25">
      <c r="A600" s="1">
        <v>44651</v>
      </c>
      <c r="B600" t="str">
        <f t="shared" si="116"/>
        <v>2799</v>
      </c>
      <c r="C600" t="str">
        <f t="shared" si="117"/>
        <v>Прочие предоплаты</v>
      </c>
      <c r="D600" t="str">
        <f t="shared" si="118"/>
        <v>1</v>
      </c>
      <c r="E600" t="str">
        <f>"9"</f>
        <v>9</v>
      </c>
      <c r="F600" t="str">
        <f>"2"</f>
        <v>2</v>
      </c>
      <c r="G600" s="2">
        <v>6341569.71</v>
      </c>
    </row>
    <row r="601" spans="1:7" x14ac:dyDescent="0.25">
      <c r="A601" s="1">
        <v>44651</v>
      </c>
      <c r="B601" t="str">
        <f t="shared" si="116"/>
        <v>2799</v>
      </c>
      <c r="C601" t="str">
        <f t="shared" si="117"/>
        <v>Прочие предоплаты</v>
      </c>
      <c r="D601" t="str">
        <f t="shared" si="118"/>
        <v>1</v>
      </c>
      <c r="E601" t="str">
        <f>"9"</f>
        <v>9</v>
      </c>
      <c r="F601" t="str">
        <f>"3"</f>
        <v>3</v>
      </c>
      <c r="G601" s="2">
        <v>173.57</v>
      </c>
    </row>
    <row r="602" spans="1:7" x14ac:dyDescent="0.25">
      <c r="A602" s="1">
        <v>44651</v>
      </c>
      <c r="B602" t="str">
        <f t="shared" si="116"/>
        <v>2799</v>
      </c>
      <c r="C602" t="str">
        <f t="shared" si="117"/>
        <v>Прочие предоплаты</v>
      </c>
      <c r="D602" t="str">
        <f>"2"</f>
        <v>2</v>
      </c>
      <c r="E602" t="str">
        <f>"9"</f>
        <v>9</v>
      </c>
      <c r="F602" t="str">
        <f>"1"</f>
        <v>1</v>
      </c>
      <c r="G602" s="2">
        <v>194543.39</v>
      </c>
    </row>
    <row r="603" spans="1:7" x14ac:dyDescent="0.25">
      <c r="A603" s="1">
        <v>44651</v>
      </c>
      <c r="B603" t="str">
        <f t="shared" si="116"/>
        <v>2799</v>
      </c>
      <c r="C603" t="str">
        <f t="shared" si="117"/>
        <v>Прочие предоплаты</v>
      </c>
      <c r="D603" t="str">
        <f>"2"</f>
        <v>2</v>
      </c>
      <c r="E603" t="str">
        <f>"9"</f>
        <v>9</v>
      </c>
      <c r="F603" t="str">
        <f>"2"</f>
        <v>2</v>
      </c>
      <c r="G603" s="2">
        <v>87890.11</v>
      </c>
    </row>
    <row r="604" spans="1:7" x14ac:dyDescent="0.25">
      <c r="A604" s="1">
        <v>44651</v>
      </c>
      <c r="B604" t="str">
        <f>"2818"</f>
        <v>2818</v>
      </c>
      <c r="C604" t="str">
        <f>"Начисленные прочие комиссионные расходы"</f>
        <v>Начисленные прочие комиссионные расходы</v>
      </c>
      <c r="D604" t="str">
        <f>"1"</f>
        <v>1</v>
      </c>
      <c r="E604" t="str">
        <f>""</f>
        <v/>
      </c>
      <c r="F604" t="str">
        <f>"1"</f>
        <v>1</v>
      </c>
      <c r="G604" s="2">
        <v>23889363.710000001</v>
      </c>
    </row>
    <row r="605" spans="1:7" x14ac:dyDescent="0.25">
      <c r="A605" s="1">
        <v>44651</v>
      </c>
      <c r="B605" t="str">
        <f>"2818"</f>
        <v>2818</v>
      </c>
      <c r="C605" t="str">
        <f>"Начисленные прочие комиссионные расходы"</f>
        <v>Начисленные прочие комиссионные расходы</v>
      </c>
      <c r="D605" t="str">
        <f>"2"</f>
        <v>2</v>
      </c>
      <c r="E605" t="str">
        <f>""</f>
        <v/>
      </c>
      <c r="F605" t="str">
        <f>"2"</f>
        <v>2</v>
      </c>
      <c r="G605" s="2">
        <v>6262165.5899999999</v>
      </c>
    </row>
    <row r="606" spans="1:7" x14ac:dyDescent="0.25">
      <c r="A606" s="1">
        <v>44651</v>
      </c>
      <c r="B606" t="str">
        <f>"2851"</f>
        <v>2851</v>
      </c>
      <c r="C606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D606" t="str">
        <f>"1"</f>
        <v>1</v>
      </c>
      <c r="E606" t="str">
        <f>"1"</f>
        <v>1</v>
      </c>
      <c r="F606" t="str">
        <f>"1"</f>
        <v>1</v>
      </c>
      <c r="G606" s="2">
        <v>1541951346.72</v>
      </c>
    </row>
    <row r="607" spans="1:7" x14ac:dyDescent="0.25">
      <c r="A607" s="1">
        <v>44651</v>
      </c>
      <c r="B607" t="str">
        <f>"2853"</f>
        <v>2853</v>
      </c>
      <c r="C607" t="str">
        <f>"Расчеты с акционерами (по дивидендам)"</f>
        <v>Расчеты с акционерами (по дивидендам)</v>
      </c>
      <c r="D607" t="str">
        <f>"1"</f>
        <v>1</v>
      </c>
      <c r="E607" t="str">
        <f>"4"</f>
        <v>4</v>
      </c>
      <c r="F607" t="str">
        <f>"1"</f>
        <v>1</v>
      </c>
      <c r="G607" s="2">
        <v>2865199.13</v>
      </c>
    </row>
    <row r="608" spans="1:7" x14ac:dyDescent="0.25">
      <c r="A608" s="1">
        <v>44651</v>
      </c>
      <c r="B608" t="str">
        <f>"2854"</f>
        <v>2854</v>
      </c>
      <c r="C608" t="str">
        <f>"Расчеты с работниками"</f>
        <v>Расчеты с работниками</v>
      </c>
      <c r="D608" t="str">
        <f>""</f>
        <v/>
      </c>
      <c r="E608" t="str">
        <f>""</f>
        <v/>
      </c>
      <c r="F608" t="str">
        <f>""</f>
        <v/>
      </c>
      <c r="G608" s="2">
        <v>3765554849.4200001</v>
      </c>
    </row>
    <row r="609" spans="1:7" x14ac:dyDescent="0.25">
      <c r="A609" s="1">
        <v>44651</v>
      </c>
      <c r="B609" t="str">
        <f>"2855"</f>
        <v>2855</v>
      </c>
      <c r="C609" t="str">
        <f>"Кредиторы по документарным расчетам"</f>
        <v>Кредиторы по документарным расчетам</v>
      </c>
      <c r="D609" t="str">
        <f>"1"</f>
        <v>1</v>
      </c>
      <c r="E609" t="str">
        <f>"7"</f>
        <v>7</v>
      </c>
      <c r="F609" t="str">
        <f>"2"</f>
        <v>2</v>
      </c>
      <c r="G609" s="2">
        <v>1864244194.9100001</v>
      </c>
    </row>
    <row r="610" spans="1:7" x14ac:dyDescent="0.25">
      <c r="A610" s="1">
        <v>44651</v>
      </c>
      <c r="B610" t="str">
        <f>"2855"</f>
        <v>2855</v>
      </c>
      <c r="C610" t="str">
        <f>"Кредиторы по документарным расчетам"</f>
        <v>Кредиторы по документарным расчетам</v>
      </c>
      <c r="D610" t="str">
        <f>"1"</f>
        <v>1</v>
      </c>
      <c r="E610" t="str">
        <f>"7"</f>
        <v>7</v>
      </c>
      <c r="F610" t="str">
        <f>"3"</f>
        <v>3</v>
      </c>
      <c r="G610" s="2">
        <v>34610400</v>
      </c>
    </row>
    <row r="611" spans="1:7" x14ac:dyDescent="0.25">
      <c r="A611" s="1">
        <v>44651</v>
      </c>
      <c r="B611" t="str">
        <f>"2855"</f>
        <v>2855</v>
      </c>
      <c r="C611" t="str">
        <f>"Кредиторы по документарным расчетам"</f>
        <v>Кредиторы по документарным расчетам</v>
      </c>
      <c r="D611" t="str">
        <f>"1"</f>
        <v>1</v>
      </c>
      <c r="E611" t="str">
        <f>"9"</f>
        <v>9</v>
      </c>
      <c r="F611" t="str">
        <f>"2"</f>
        <v>2</v>
      </c>
      <c r="G611" s="2">
        <v>56071335</v>
      </c>
    </row>
    <row r="612" spans="1:7" x14ac:dyDescent="0.25">
      <c r="A612" s="1">
        <v>44651</v>
      </c>
      <c r="B612" t="str">
        <f>"2856"</f>
        <v>2856</v>
      </c>
      <c r="C612" t="str">
        <f>"Кредиторы по капитальным вложениям"</f>
        <v>Кредиторы по капитальным вложениям</v>
      </c>
      <c r="D612" t="str">
        <f>"1"</f>
        <v>1</v>
      </c>
      <c r="E612" t="str">
        <f>"7"</f>
        <v>7</v>
      </c>
      <c r="F612" t="str">
        <f>"1"</f>
        <v>1</v>
      </c>
      <c r="G612" s="2">
        <v>42540115.560000002</v>
      </c>
    </row>
    <row r="613" spans="1:7" x14ac:dyDescent="0.25">
      <c r="A613" s="1">
        <v>44651</v>
      </c>
      <c r="B613" t="str">
        <f>"2856"</f>
        <v>2856</v>
      </c>
      <c r="C613" t="str">
        <f>"Кредиторы по капитальным вложениям"</f>
        <v>Кредиторы по капитальным вложениям</v>
      </c>
      <c r="D613" t="str">
        <f>"1"</f>
        <v>1</v>
      </c>
      <c r="E613" t="str">
        <f>"9"</f>
        <v>9</v>
      </c>
      <c r="F613" t="str">
        <f>"1"</f>
        <v>1</v>
      </c>
      <c r="G613" s="2">
        <v>29008</v>
      </c>
    </row>
    <row r="614" spans="1:7" x14ac:dyDescent="0.25">
      <c r="A614" s="1">
        <v>44651</v>
      </c>
      <c r="B614" t="str">
        <f>"2857"</f>
        <v>2857</v>
      </c>
      <c r="C614" t="str">
        <f>"Отложенные налоговые обязательства"</f>
        <v>Отложенные налоговые обязательства</v>
      </c>
      <c r="D614" t="str">
        <f>""</f>
        <v/>
      </c>
      <c r="E614" t="str">
        <f>""</f>
        <v/>
      </c>
      <c r="F614" t="str">
        <f>""</f>
        <v/>
      </c>
      <c r="G614" s="2">
        <v>15006106015</v>
      </c>
    </row>
    <row r="615" spans="1:7" x14ac:dyDescent="0.25">
      <c r="A615" s="1">
        <v>44651</v>
      </c>
      <c r="B615" t="str">
        <f t="shared" ref="B615:B626" si="119">"2860"</f>
        <v>2860</v>
      </c>
      <c r="C615" t="str">
        <f t="shared" ref="C615:C626" si="120">"Прочие кредиторы по банковской деятельности"</f>
        <v>Прочие кредиторы по банковской деятельности</v>
      </c>
      <c r="D615" t="str">
        <f t="shared" ref="D615:D623" si="121">"1"</f>
        <v>1</v>
      </c>
      <c r="E615" t="str">
        <f>"4"</f>
        <v>4</v>
      </c>
      <c r="F615" t="str">
        <f>"1"</f>
        <v>1</v>
      </c>
      <c r="G615" s="2">
        <v>1675555269.03</v>
      </c>
    </row>
    <row r="616" spans="1:7" x14ac:dyDescent="0.25">
      <c r="A616" s="1">
        <v>44651</v>
      </c>
      <c r="B616" t="str">
        <f t="shared" si="119"/>
        <v>2860</v>
      </c>
      <c r="C616" t="str">
        <f t="shared" si="120"/>
        <v>Прочие кредиторы по банковской деятельности</v>
      </c>
      <c r="D616" t="str">
        <f t="shared" si="121"/>
        <v>1</v>
      </c>
      <c r="E616" t="str">
        <f>"4"</f>
        <v>4</v>
      </c>
      <c r="F616" t="str">
        <f>"2"</f>
        <v>2</v>
      </c>
      <c r="G616" s="2">
        <v>413172074.73000002</v>
      </c>
    </row>
    <row r="617" spans="1:7" x14ac:dyDescent="0.25">
      <c r="A617" s="1">
        <v>44651</v>
      </c>
      <c r="B617" t="str">
        <f t="shared" si="119"/>
        <v>2860</v>
      </c>
      <c r="C617" t="str">
        <f t="shared" si="120"/>
        <v>Прочие кредиторы по банковской деятельности</v>
      </c>
      <c r="D617" t="str">
        <f t="shared" si="121"/>
        <v>1</v>
      </c>
      <c r="E617" t="str">
        <f>"4"</f>
        <v>4</v>
      </c>
      <c r="F617" t="str">
        <f>"3"</f>
        <v>3</v>
      </c>
      <c r="G617" s="2">
        <v>672757.89</v>
      </c>
    </row>
    <row r="618" spans="1:7" x14ac:dyDescent="0.25">
      <c r="A618" s="1">
        <v>44651</v>
      </c>
      <c r="B618" t="str">
        <f t="shared" si="119"/>
        <v>2860</v>
      </c>
      <c r="C618" t="str">
        <f t="shared" si="120"/>
        <v>Прочие кредиторы по банковской деятельности</v>
      </c>
      <c r="D618" t="str">
        <f t="shared" si="121"/>
        <v>1</v>
      </c>
      <c r="E618" t="str">
        <f>"5"</f>
        <v>5</v>
      </c>
      <c r="F618" t="str">
        <f>"1"</f>
        <v>1</v>
      </c>
      <c r="G618" s="2">
        <v>45243.29</v>
      </c>
    </row>
    <row r="619" spans="1:7" x14ac:dyDescent="0.25">
      <c r="A619" s="1">
        <v>44651</v>
      </c>
      <c r="B619" t="str">
        <f t="shared" si="119"/>
        <v>2860</v>
      </c>
      <c r="C619" t="str">
        <f t="shared" si="120"/>
        <v>Прочие кредиторы по банковской деятельности</v>
      </c>
      <c r="D619" t="str">
        <f t="shared" si="121"/>
        <v>1</v>
      </c>
      <c r="E619" t="str">
        <f>"7"</f>
        <v>7</v>
      </c>
      <c r="F619" t="str">
        <f>"1"</f>
        <v>1</v>
      </c>
      <c r="G619" s="2">
        <v>1508290.69</v>
      </c>
    </row>
    <row r="620" spans="1:7" x14ac:dyDescent="0.25">
      <c r="A620" s="1">
        <v>44651</v>
      </c>
      <c r="B620" t="str">
        <f t="shared" si="119"/>
        <v>2860</v>
      </c>
      <c r="C620" t="str">
        <f t="shared" si="120"/>
        <v>Прочие кредиторы по банковской деятельности</v>
      </c>
      <c r="D620" t="str">
        <f t="shared" si="121"/>
        <v>1</v>
      </c>
      <c r="E620" t="str">
        <f>"7"</f>
        <v>7</v>
      </c>
      <c r="F620" t="str">
        <f>"2"</f>
        <v>2</v>
      </c>
      <c r="G620" s="2">
        <v>5192609.54</v>
      </c>
    </row>
    <row r="621" spans="1:7" x14ac:dyDescent="0.25">
      <c r="A621" s="1">
        <v>44651</v>
      </c>
      <c r="B621" t="str">
        <f t="shared" si="119"/>
        <v>2860</v>
      </c>
      <c r="C621" t="str">
        <f t="shared" si="120"/>
        <v>Прочие кредиторы по банковской деятельности</v>
      </c>
      <c r="D621" t="str">
        <f t="shared" si="121"/>
        <v>1</v>
      </c>
      <c r="E621" t="str">
        <f>"9"</f>
        <v>9</v>
      </c>
      <c r="F621" t="str">
        <f>"1"</f>
        <v>1</v>
      </c>
      <c r="G621" s="2">
        <v>18877284.039999999</v>
      </c>
    </row>
    <row r="622" spans="1:7" x14ac:dyDescent="0.25">
      <c r="A622" s="1">
        <v>44651</v>
      </c>
      <c r="B622" t="str">
        <f t="shared" si="119"/>
        <v>2860</v>
      </c>
      <c r="C622" t="str">
        <f t="shared" si="120"/>
        <v>Прочие кредиторы по банковской деятельности</v>
      </c>
      <c r="D622" t="str">
        <f t="shared" si="121"/>
        <v>1</v>
      </c>
      <c r="E622" t="str">
        <f>"9"</f>
        <v>9</v>
      </c>
      <c r="F622" t="str">
        <f>"2"</f>
        <v>2</v>
      </c>
      <c r="G622" s="2">
        <v>5225756.63</v>
      </c>
    </row>
    <row r="623" spans="1:7" x14ac:dyDescent="0.25">
      <c r="A623" s="1">
        <v>44651</v>
      </c>
      <c r="B623" t="str">
        <f t="shared" si="119"/>
        <v>2860</v>
      </c>
      <c r="C623" t="str">
        <f t="shared" si="120"/>
        <v>Прочие кредиторы по банковской деятельности</v>
      </c>
      <c r="D623" t="str">
        <f t="shared" si="121"/>
        <v>1</v>
      </c>
      <c r="E623" t="str">
        <f>"9"</f>
        <v>9</v>
      </c>
      <c r="F623" t="str">
        <f>"3"</f>
        <v>3</v>
      </c>
      <c r="G623" s="2">
        <v>1699.97</v>
      </c>
    </row>
    <row r="624" spans="1:7" x14ac:dyDescent="0.25">
      <c r="A624" s="1">
        <v>44651</v>
      </c>
      <c r="B624" t="str">
        <f t="shared" si="119"/>
        <v>2860</v>
      </c>
      <c r="C624" t="str">
        <f t="shared" si="120"/>
        <v>Прочие кредиторы по банковской деятельности</v>
      </c>
      <c r="D624" t="str">
        <f>"2"</f>
        <v>2</v>
      </c>
      <c r="E624" t="str">
        <f>"5"</f>
        <v>5</v>
      </c>
      <c r="F624" t="str">
        <f>"2"</f>
        <v>2</v>
      </c>
      <c r="G624" s="2">
        <v>4663100</v>
      </c>
    </row>
    <row r="625" spans="1:7" x14ac:dyDescent="0.25">
      <c r="A625" s="1">
        <v>44651</v>
      </c>
      <c r="B625" t="str">
        <f t="shared" si="119"/>
        <v>2860</v>
      </c>
      <c r="C625" t="str">
        <f t="shared" si="120"/>
        <v>Прочие кредиторы по банковской деятельности</v>
      </c>
      <c r="D625" t="str">
        <f>"2"</f>
        <v>2</v>
      </c>
      <c r="E625" t="str">
        <f>"7"</f>
        <v>7</v>
      </c>
      <c r="F625" t="str">
        <f>"1"</f>
        <v>1</v>
      </c>
      <c r="G625" s="2">
        <v>3500</v>
      </c>
    </row>
    <row r="626" spans="1:7" x14ac:dyDescent="0.25">
      <c r="A626" s="1">
        <v>44651</v>
      </c>
      <c r="B626" t="str">
        <f t="shared" si="119"/>
        <v>2860</v>
      </c>
      <c r="C626" t="str">
        <f t="shared" si="120"/>
        <v>Прочие кредиторы по банковской деятельности</v>
      </c>
      <c r="D626" t="str">
        <f>"2"</f>
        <v>2</v>
      </c>
      <c r="E626" t="str">
        <f>"7"</f>
        <v>7</v>
      </c>
      <c r="F626" t="str">
        <f>"2"</f>
        <v>2</v>
      </c>
      <c r="G626" s="2">
        <v>94102108.760000005</v>
      </c>
    </row>
    <row r="627" spans="1:7" x14ac:dyDescent="0.25">
      <c r="A627" s="1">
        <v>44651</v>
      </c>
      <c r="B627" t="str">
        <f>"2861"</f>
        <v>2861</v>
      </c>
      <c r="C627" t="str">
        <f>"Резерв на отпускные выплаты"</f>
        <v>Резерв на отпускные выплаты</v>
      </c>
      <c r="D627" t="str">
        <f>""</f>
        <v/>
      </c>
      <c r="E627" t="str">
        <f>""</f>
        <v/>
      </c>
      <c r="F627" t="str">
        <f>""</f>
        <v/>
      </c>
      <c r="G627" s="2">
        <v>1289978394.6900001</v>
      </c>
    </row>
    <row r="628" spans="1:7" x14ac:dyDescent="0.25">
      <c r="A628" s="1">
        <v>44651</v>
      </c>
      <c r="B628" t="str">
        <f>"2865"</f>
        <v>2865</v>
      </c>
      <c r="C628" t="str">
        <f>"Обязательства по выпущенным электронным деньгам"</f>
        <v>Обязательства по выпущенным электронным деньгам</v>
      </c>
      <c r="D628" t="str">
        <f t="shared" ref="D628:D654" si="122">"1"</f>
        <v>1</v>
      </c>
      <c r="E628" t="str">
        <f>"4"</f>
        <v>4</v>
      </c>
      <c r="F628" t="str">
        <f t="shared" ref="F628:F635" si="123">"1"</f>
        <v>1</v>
      </c>
      <c r="G628" s="2">
        <v>1459468749.6800001</v>
      </c>
    </row>
    <row r="629" spans="1:7" x14ac:dyDescent="0.25">
      <c r="A629" s="1">
        <v>44651</v>
      </c>
      <c r="B629" t="str">
        <f>"2867"</f>
        <v>2867</v>
      </c>
      <c r="C629" t="str">
        <f>"Прочие кредиторы по неосновной деятельности"</f>
        <v>Прочие кредиторы по неосновной деятельности</v>
      </c>
      <c r="D629" t="str">
        <f t="shared" si="122"/>
        <v>1</v>
      </c>
      <c r="E629" t="str">
        <f>"4"</f>
        <v>4</v>
      </c>
      <c r="F629" t="str">
        <f t="shared" si="123"/>
        <v>1</v>
      </c>
      <c r="G629" s="2">
        <v>1378805920.45</v>
      </c>
    </row>
    <row r="630" spans="1:7" x14ac:dyDescent="0.25">
      <c r="A630" s="1">
        <v>44651</v>
      </c>
      <c r="B630" t="str">
        <f>"2867"</f>
        <v>2867</v>
      </c>
      <c r="C630" t="str">
        <f>"Прочие кредиторы по неосновной деятельности"</f>
        <v>Прочие кредиторы по неосновной деятельности</v>
      </c>
      <c r="D630" t="str">
        <f t="shared" si="122"/>
        <v>1</v>
      </c>
      <c r="E630" t="str">
        <f>"6"</f>
        <v>6</v>
      </c>
      <c r="F630" t="str">
        <f t="shared" si="123"/>
        <v>1</v>
      </c>
      <c r="G630" s="2">
        <v>13978.34</v>
      </c>
    </row>
    <row r="631" spans="1:7" x14ac:dyDescent="0.25">
      <c r="A631" s="1">
        <v>44651</v>
      </c>
      <c r="B631" t="str">
        <f>"2867"</f>
        <v>2867</v>
      </c>
      <c r="C631" t="str">
        <f>"Прочие кредиторы по неосновной деятельности"</f>
        <v>Прочие кредиторы по неосновной деятельности</v>
      </c>
      <c r="D631" t="str">
        <f t="shared" si="122"/>
        <v>1</v>
      </c>
      <c r="E631" t="str">
        <f>"7"</f>
        <v>7</v>
      </c>
      <c r="F631" t="str">
        <f t="shared" si="123"/>
        <v>1</v>
      </c>
      <c r="G631" s="2">
        <v>2553459329.0700002</v>
      </c>
    </row>
    <row r="632" spans="1:7" x14ac:dyDescent="0.25">
      <c r="A632" s="1">
        <v>44651</v>
      </c>
      <c r="B632" t="str">
        <f>"2867"</f>
        <v>2867</v>
      </c>
      <c r="C632" t="str">
        <f>"Прочие кредиторы по неосновной деятельности"</f>
        <v>Прочие кредиторы по неосновной деятельности</v>
      </c>
      <c r="D632" t="str">
        <f t="shared" si="122"/>
        <v>1</v>
      </c>
      <c r="E632" t="str">
        <f>"9"</f>
        <v>9</v>
      </c>
      <c r="F632" t="str">
        <f t="shared" si="123"/>
        <v>1</v>
      </c>
      <c r="G632" s="2">
        <v>8805703182.7700005</v>
      </c>
    </row>
    <row r="633" spans="1:7" x14ac:dyDescent="0.25">
      <c r="A633" s="1">
        <v>44651</v>
      </c>
      <c r="B633" t="str">
        <f t="shared" ref="B633:B639" si="124">"2869"</f>
        <v>2869</v>
      </c>
      <c r="C633" t="str">
        <f t="shared" ref="C633:C639" si="125">"Выданные гарантии"</f>
        <v>Выданные гарантии</v>
      </c>
      <c r="D633" t="str">
        <f t="shared" si="122"/>
        <v>1</v>
      </c>
      <c r="E633" t="str">
        <f>"5"</f>
        <v>5</v>
      </c>
      <c r="F633" t="str">
        <f t="shared" si="123"/>
        <v>1</v>
      </c>
      <c r="G633" s="2">
        <v>159608.03</v>
      </c>
    </row>
    <row r="634" spans="1:7" x14ac:dyDescent="0.25">
      <c r="A634" s="1">
        <v>44651</v>
      </c>
      <c r="B634" t="str">
        <f t="shared" si="124"/>
        <v>2869</v>
      </c>
      <c r="C634" t="str">
        <f t="shared" si="125"/>
        <v>Выданные гарантии</v>
      </c>
      <c r="D634" t="str">
        <f t="shared" si="122"/>
        <v>1</v>
      </c>
      <c r="E634" t="str">
        <f>"6"</f>
        <v>6</v>
      </c>
      <c r="F634" t="str">
        <f t="shared" si="123"/>
        <v>1</v>
      </c>
      <c r="G634" s="2">
        <v>970286.98</v>
      </c>
    </row>
    <row r="635" spans="1:7" x14ac:dyDescent="0.25">
      <c r="A635" s="1">
        <v>44651</v>
      </c>
      <c r="B635" t="str">
        <f t="shared" si="124"/>
        <v>2869</v>
      </c>
      <c r="C635" t="str">
        <f t="shared" si="125"/>
        <v>Выданные гарантии</v>
      </c>
      <c r="D635" t="str">
        <f t="shared" si="122"/>
        <v>1</v>
      </c>
      <c r="E635" t="str">
        <f>"7"</f>
        <v>7</v>
      </c>
      <c r="F635" t="str">
        <f t="shared" si="123"/>
        <v>1</v>
      </c>
      <c r="G635" s="2">
        <v>405143105.73000002</v>
      </c>
    </row>
    <row r="636" spans="1:7" x14ac:dyDescent="0.25">
      <c r="A636" s="1">
        <v>44651</v>
      </c>
      <c r="B636" t="str">
        <f t="shared" si="124"/>
        <v>2869</v>
      </c>
      <c r="C636" t="str">
        <f t="shared" si="125"/>
        <v>Выданные гарантии</v>
      </c>
      <c r="D636" t="str">
        <f t="shared" si="122"/>
        <v>1</v>
      </c>
      <c r="E636" t="str">
        <f>"7"</f>
        <v>7</v>
      </c>
      <c r="F636" t="str">
        <f>"2"</f>
        <v>2</v>
      </c>
      <c r="G636" s="2">
        <v>40873194.159999996</v>
      </c>
    </row>
    <row r="637" spans="1:7" x14ac:dyDescent="0.25">
      <c r="A637" s="1">
        <v>44651</v>
      </c>
      <c r="B637" t="str">
        <f t="shared" si="124"/>
        <v>2869</v>
      </c>
      <c r="C637" t="str">
        <f t="shared" si="125"/>
        <v>Выданные гарантии</v>
      </c>
      <c r="D637" t="str">
        <f t="shared" si="122"/>
        <v>1</v>
      </c>
      <c r="E637" t="str">
        <f>"7"</f>
        <v>7</v>
      </c>
      <c r="F637" t="str">
        <f>"3"</f>
        <v>3</v>
      </c>
      <c r="G637" s="2">
        <v>2147530.75</v>
      </c>
    </row>
    <row r="638" spans="1:7" x14ac:dyDescent="0.25">
      <c r="A638" s="1">
        <v>44651</v>
      </c>
      <c r="B638" t="str">
        <f t="shared" si="124"/>
        <v>2869</v>
      </c>
      <c r="C638" t="str">
        <f t="shared" si="125"/>
        <v>Выданные гарантии</v>
      </c>
      <c r="D638" t="str">
        <f t="shared" si="122"/>
        <v>1</v>
      </c>
      <c r="E638" t="str">
        <f>"8"</f>
        <v>8</v>
      </c>
      <c r="F638" t="str">
        <f t="shared" ref="F638:F643" si="126">"1"</f>
        <v>1</v>
      </c>
      <c r="G638" s="2">
        <v>37118.019999999997</v>
      </c>
    </row>
    <row r="639" spans="1:7" x14ac:dyDescent="0.25">
      <c r="A639" s="1">
        <v>44651</v>
      </c>
      <c r="B639" t="str">
        <f t="shared" si="124"/>
        <v>2869</v>
      </c>
      <c r="C639" t="str">
        <f t="shared" si="125"/>
        <v>Выданные гарантии</v>
      </c>
      <c r="D639" t="str">
        <f t="shared" si="122"/>
        <v>1</v>
      </c>
      <c r="E639" t="str">
        <f>"9"</f>
        <v>9</v>
      </c>
      <c r="F639" t="str">
        <f t="shared" si="126"/>
        <v>1</v>
      </c>
      <c r="G639" s="2">
        <v>2576766.7599999998</v>
      </c>
    </row>
    <row r="640" spans="1:7" x14ac:dyDescent="0.25">
      <c r="A640" s="1">
        <v>44651</v>
      </c>
      <c r="B640" t="str">
        <f t="shared" ref="B640:B663" si="127">"2870"</f>
        <v>2870</v>
      </c>
      <c r="C640" t="str">
        <f t="shared" ref="C640:C663" si="128">"Прочие транзитные счета"</f>
        <v>Прочие транзитные счета</v>
      </c>
      <c r="D640" t="str">
        <f t="shared" si="122"/>
        <v>1</v>
      </c>
      <c r="E640" t="str">
        <f>"1"</f>
        <v>1</v>
      </c>
      <c r="F640" t="str">
        <f t="shared" si="126"/>
        <v>1</v>
      </c>
      <c r="G640" s="2">
        <v>602</v>
      </c>
    </row>
    <row r="641" spans="1:7" x14ac:dyDescent="0.25">
      <c r="A641" s="1">
        <v>44651</v>
      </c>
      <c r="B641" t="str">
        <f t="shared" si="127"/>
        <v>2870</v>
      </c>
      <c r="C641" t="str">
        <f t="shared" si="128"/>
        <v>Прочие транзитные счета</v>
      </c>
      <c r="D641" t="str">
        <f t="shared" si="122"/>
        <v>1</v>
      </c>
      <c r="E641" t="str">
        <f>"2"</f>
        <v>2</v>
      </c>
      <c r="F641" t="str">
        <f t="shared" si="126"/>
        <v>1</v>
      </c>
      <c r="G641" s="2">
        <v>176214.44</v>
      </c>
    </row>
    <row r="642" spans="1:7" x14ac:dyDescent="0.25">
      <c r="A642" s="1">
        <v>44651</v>
      </c>
      <c r="B642" t="str">
        <f t="shared" si="127"/>
        <v>2870</v>
      </c>
      <c r="C642" t="str">
        <f t="shared" si="128"/>
        <v>Прочие транзитные счета</v>
      </c>
      <c r="D642" t="str">
        <f t="shared" si="122"/>
        <v>1</v>
      </c>
      <c r="E642" t="str">
        <f>"3"</f>
        <v>3</v>
      </c>
      <c r="F642" t="str">
        <f t="shared" si="126"/>
        <v>1</v>
      </c>
      <c r="G642" s="2">
        <v>0</v>
      </c>
    </row>
    <row r="643" spans="1:7" x14ac:dyDescent="0.25">
      <c r="A643" s="1">
        <v>44651</v>
      </c>
      <c r="B643" t="str">
        <f t="shared" si="127"/>
        <v>2870</v>
      </c>
      <c r="C643" t="str">
        <f t="shared" si="128"/>
        <v>Прочие транзитные счета</v>
      </c>
      <c r="D643" t="str">
        <f t="shared" si="122"/>
        <v>1</v>
      </c>
      <c r="E643" t="str">
        <f>"4"</f>
        <v>4</v>
      </c>
      <c r="F643" t="str">
        <f t="shared" si="126"/>
        <v>1</v>
      </c>
      <c r="G643" s="2">
        <v>2333287573.3699999</v>
      </c>
    </row>
    <row r="644" spans="1:7" x14ac:dyDescent="0.25">
      <c r="A644" s="1">
        <v>44651</v>
      </c>
      <c r="B644" t="str">
        <f t="shared" si="127"/>
        <v>2870</v>
      </c>
      <c r="C644" t="str">
        <f t="shared" si="128"/>
        <v>Прочие транзитные счета</v>
      </c>
      <c r="D644" t="str">
        <f t="shared" si="122"/>
        <v>1</v>
      </c>
      <c r="E644" t="str">
        <f>"4"</f>
        <v>4</v>
      </c>
      <c r="F644" t="str">
        <f>"2"</f>
        <v>2</v>
      </c>
      <c r="G644" s="2">
        <v>1192771532.6500001</v>
      </c>
    </row>
    <row r="645" spans="1:7" x14ac:dyDescent="0.25">
      <c r="A645" s="1">
        <v>44651</v>
      </c>
      <c r="B645" t="str">
        <f t="shared" si="127"/>
        <v>2870</v>
      </c>
      <c r="C645" t="str">
        <f t="shared" si="128"/>
        <v>Прочие транзитные счета</v>
      </c>
      <c r="D645" t="str">
        <f t="shared" si="122"/>
        <v>1</v>
      </c>
      <c r="E645" t="str">
        <f>"4"</f>
        <v>4</v>
      </c>
      <c r="F645" t="str">
        <f>"3"</f>
        <v>3</v>
      </c>
      <c r="G645" s="2">
        <v>159956590.28999999</v>
      </c>
    </row>
    <row r="646" spans="1:7" x14ac:dyDescent="0.25">
      <c r="A646" s="1">
        <v>44651</v>
      </c>
      <c r="B646" t="str">
        <f t="shared" si="127"/>
        <v>2870</v>
      </c>
      <c r="C646" t="str">
        <f t="shared" si="128"/>
        <v>Прочие транзитные счета</v>
      </c>
      <c r="D646" t="str">
        <f t="shared" si="122"/>
        <v>1</v>
      </c>
      <c r="E646" t="str">
        <f>"5"</f>
        <v>5</v>
      </c>
      <c r="F646" t="str">
        <f>"1"</f>
        <v>1</v>
      </c>
      <c r="G646" s="2">
        <v>110766920</v>
      </c>
    </row>
    <row r="647" spans="1:7" x14ac:dyDescent="0.25">
      <c r="A647" s="1">
        <v>44651</v>
      </c>
      <c r="B647" t="str">
        <f t="shared" si="127"/>
        <v>2870</v>
      </c>
      <c r="C647" t="str">
        <f t="shared" si="128"/>
        <v>Прочие транзитные счета</v>
      </c>
      <c r="D647" t="str">
        <f t="shared" si="122"/>
        <v>1</v>
      </c>
      <c r="E647" t="str">
        <f>"6"</f>
        <v>6</v>
      </c>
      <c r="F647" t="str">
        <f>"1"</f>
        <v>1</v>
      </c>
      <c r="G647" s="2">
        <v>3962422.79</v>
      </c>
    </row>
    <row r="648" spans="1:7" x14ac:dyDescent="0.25">
      <c r="A648" s="1">
        <v>44651</v>
      </c>
      <c r="B648" t="str">
        <f t="shared" si="127"/>
        <v>2870</v>
      </c>
      <c r="C648" t="str">
        <f t="shared" si="128"/>
        <v>Прочие транзитные счета</v>
      </c>
      <c r="D648" t="str">
        <f t="shared" si="122"/>
        <v>1</v>
      </c>
      <c r="E648" t="str">
        <f>"7"</f>
        <v>7</v>
      </c>
      <c r="F648" t="str">
        <f>"1"</f>
        <v>1</v>
      </c>
      <c r="G648" s="2">
        <v>155022383.94</v>
      </c>
    </row>
    <row r="649" spans="1:7" x14ac:dyDescent="0.25">
      <c r="A649" s="1">
        <v>44651</v>
      </c>
      <c r="B649" t="str">
        <f t="shared" si="127"/>
        <v>2870</v>
      </c>
      <c r="C649" t="str">
        <f t="shared" si="128"/>
        <v>Прочие транзитные счета</v>
      </c>
      <c r="D649" t="str">
        <f t="shared" si="122"/>
        <v>1</v>
      </c>
      <c r="E649" t="str">
        <f>"7"</f>
        <v>7</v>
      </c>
      <c r="F649" t="str">
        <f>"2"</f>
        <v>2</v>
      </c>
      <c r="G649" s="2">
        <v>17668.490000000002</v>
      </c>
    </row>
    <row r="650" spans="1:7" x14ac:dyDescent="0.25">
      <c r="A650" s="1">
        <v>44651</v>
      </c>
      <c r="B650" t="str">
        <f t="shared" si="127"/>
        <v>2870</v>
      </c>
      <c r="C650" t="str">
        <f t="shared" si="128"/>
        <v>Прочие транзитные счета</v>
      </c>
      <c r="D650" t="str">
        <f t="shared" si="122"/>
        <v>1</v>
      </c>
      <c r="E650" t="str">
        <f>"7"</f>
        <v>7</v>
      </c>
      <c r="F650" t="str">
        <f>"3"</f>
        <v>3</v>
      </c>
      <c r="G650" s="2">
        <v>0</v>
      </c>
    </row>
    <row r="651" spans="1:7" x14ac:dyDescent="0.25">
      <c r="A651" s="1">
        <v>44651</v>
      </c>
      <c r="B651" t="str">
        <f t="shared" si="127"/>
        <v>2870</v>
      </c>
      <c r="C651" t="str">
        <f t="shared" si="128"/>
        <v>Прочие транзитные счета</v>
      </c>
      <c r="D651" t="str">
        <f t="shared" si="122"/>
        <v>1</v>
      </c>
      <c r="E651" t="str">
        <f>"8"</f>
        <v>8</v>
      </c>
      <c r="F651" t="str">
        <f>"1"</f>
        <v>1</v>
      </c>
      <c r="G651" s="2">
        <v>5543443.1699999999</v>
      </c>
    </row>
    <row r="652" spans="1:7" x14ac:dyDescent="0.25">
      <c r="A652" s="1">
        <v>44651</v>
      </c>
      <c r="B652" t="str">
        <f t="shared" si="127"/>
        <v>2870</v>
      </c>
      <c r="C652" t="str">
        <f t="shared" si="128"/>
        <v>Прочие транзитные счета</v>
      </c>
      <c r="D652" t="str">
        <f t="shared" si="122"/>
        <v>1</v>
      </c>
      <c r="E652" t="str">
        <f>"9"</f>
        <v>9</v>
      </c>
      <c r="F652" t="str">
        <f>"1"</f>
        <v>1</v>
      </c>
      <c r="G652" s="2">
        <v>190604617.63</v>
      </c>
    </row>
    <row r="653" spans="1:7" x14ac:dyDescent="0.25">
      <c r="A653" s="1">
        <v>44651</v>
      </c>
      <c r="B653" t="str">
        <f t="shared" si="127"/>
        <v>2870</v>
      </c>
      <c r="C653" t="str">
        <f t="shared" si="128"/>
        <v>Прочие транзитные счета</v>
      </c>
      <c r="D653" t="str">
        <f t="shared" si="122"/>
        <v>1</v>
      </c>
      <c r="E653" t="str">
        <f>"9"</f>
        <v>9</v>
      </c>
      <c r="F653" t="str">
        <f>"2"</f>
        <v>2</v>
      </c>
      <c r="G653" s="2">
        <v>419560007.19</v>
      </c>
    </row>
    <row r="654" spans="1:7" x14ac:dyDescent="0.25">
      <c r="A654" s="1">
        <v>44651</v>
      </c>
      <c r="B654" t="str">
        <f t="shared" si="127"/>
        <v>2870</v>
      </c>
      <c r="C654" t="str">
        <f t="shared" si="128"/>
        <v>Прочие транзитные счета</v>
      </c>
      <c r="D654" t="str">
        <f t="shared" si="122"/>
        <v>1</v>
      </c>
      <c r="E654" t="str">
        <f>"9"</f>
        <v>9</v>
      </c>
      <c r="F654" t="str">
        <f>"3"</f>
        <v>3</v>
      </c>
      <c r="G654" s="2">
        <v>28737858.440000001</v>
      </c>
    </row>
    <row r="655" spans="1:7" x14ac:dyDescent="0.25">
      <c r="A655" s="1">
        <v>44651</v>
      </c>
      <c r="B655" t="str">
        <f t="shared" si="127"/>
        <v>2870</v>
      </c>
      <c r="C655" t="str">
        <f t="shared" si="128"/>
        <v>Прочие транзитные счета</v>
      </c>
      <c r="D655" t="str">
        <f t="shared" ref="D655:D663" si="129">"2"</f>
        <v>2</v>
      </c>
      <c r="E655" t="str">
        <f>"4"</f>
        <v>4</v>
      </c>
      <c r="F655" t="str">
        <f>"1"</f>
        <v>1</v>
      </c>
      <c r="G655" s="2">
        <v>0</v>
      </c>
    </row>
    <row r="656" spans="1:7" x14ac:dyDescent="0.25">
      <c r="A656" s="1">
        <v>44651</v>
      </c>
      <c r="B656" t="str">
        <f t="shared" si="127"/>
        <v>2870</v>
      </c>
      <c r="C656" t="str">
        <f t="shared" si="128"/>
        <v>Прочие транзитные счета</v>
      </c>
      <c r="D656" t="str">
        <f t="shared" si="129"/>
        <v>2</v>
      </c>
      <c r="E656" t="str">
        <f>"4"</f>
        <v>4</v>
      </c>
      <c r="F656" t="str">
        <f>"2"</f>
        <v>2</v>
      </c>
      <c r="G656" s="2">
        <v>0</v>
      </c>
    </row>
    <row r="657" spans="1:7" x14ac:dyDescent="0.25">
      <c r="A657" s="1">
        <v>44651</v>
      </c>
      <c r="B657" t="str">
        <f t="shared" si="127"/>
        <v>2870</v>
      </c>
      <c r="C657" t="str">
        <f t="shared" si="128"/>
        <v>Прочие транзитные счета</v>
      </c>
      <c r="D657" t="str">
        <f t="shared" si="129"/>
        <v>2</v>
      </c>
      <c r="E657" t="str">
        <f>"4"</f>
        <v>4</v>
      </c>
      <c r="F657" t="str">
        <f>"3"</f>
        <v>3</v>
      </c>
      <c r="G657" s="2">
        <v>0</v>
      </c>
    </row>
    <row r="658" spans="1:7" x14ac:dyDescent="0.25">
      <c r="A658" s="1">
        <v>44651</v>
      </c>
      <c r="B658" t="str">
        <f t="shared" si="127"/>
        <v>2870</v>
      </c>
      <c r="C658" t="str">
        <f t="shared" si="128"/>
        <v>Прочие транзитные счета</v>
      </c>
      <c r="D658" t="str">
        <f t="shared" si="129"/>
        <v>2</v>
      </c>
      <c r="E658" t="str">
        <f>"7"</f>
        <v>7</v>
      </c>
      <c r="F658" t="str">
        <f>"1"</f>
        <v>1</v>
      </c>
      <c r="G658" s="2">
        <v>0</v>
      </c>
    </row>
    <row r="659" spans="1:7" x14ac:dyDescent="0.25">
      <c r="A659" s="1">
        <v>44651</v>
      </c>
      <c r="B659" t="str">
        <f t="shared" si="127"/>
        <v>2870</v>
      </c>
      <c r="C659" t="str">
        <f t="shared" si="128"/>
        <v>Прочие транзитные счета</v>
      </c>
      <c r="D659" t="str">
        <f t="shared" si="129"/>
        <v>2</v>
      </c>
      <c r="E659" t="str">
        <f>"7"</f>
        <v>7</v>
      </c>
      <c r="F659" t="str">
        <f>"2"</f>
        <v>2</v>
      </c>
      <c r="G659" s="2">
        <v>0</v>
      </c>
    </row>
    <row r="660" spans="1:7" x14ac:dyDescent="0.25">
      <c r="A660" s="1">
        <v>44651</v>
      </c>
      <c r="B660" t="str">
        <f t="shared" si="127"/>
        <v>2870</v>
      </c>
      <c r="C660" t="str">
        <f t="shared" si="128"/>
        <v>Прочие транзитные счета</v>
      </c>
      <c r="D660" t="str">
        <f t="shared" si="129"/>
        <v>2</v>
      </c>
      <c r="E660" t="str">
        <f>"7"</f>
        <v>7</v>
      </c>
      <c r="F660" t="str">
        <f>"3"</f>
        <v>3</v>
      </c>
      <c r="G660" s="2">
        <v>0</v>
      </c>
    </row>
    <row r="661" spans="1:7" x14ac:dyDescent="0.25">
      <c r="A661" s="1">
        <v>44651</v>
      </c>
      <c r="B661" t="str">
        <f t="shared" si="127"/>
        <v>2870</v>
      </c>
      <c r="C661" t="str">
        <f t="shared" si="128"/>
        <v>Прочие транзитные счета</v>
      </c>
      <c r="D661" t="str">
        <f t="shared" si="129"/>
        <v>2</v>
      </c>
      <c r="E661" t="str">
        <f>"9"</f>
        <v>9</v>
      </c>
      <c r="F661" t="str">
        <f>"1"</f>
        <v>1</v>
      </c>
      <c r="G661" s="2">
        <v>79857357.609999999</v>
      </c>
    </row>
    <row r="662" spans="1:7" x14ac:dyDescent="0.25">
      <c r="A662" s="1">
        <v>44651</v>
      </c>
      <c r="B662" t="str">
        <f t="shared" si="127"/>
        <v>2870</v>
      </c>
      <c r="C662" t="str">
        <f t="shared" si="128"/>
        <v>Прочие транзитные счета</v>
      </c>
      <c r="D662" t="str">
        <f t="shared" si="129"/>
        <v>2</v>
      </c>
      <c r="E662" t="str">
        <f>"9"</f>
        <v>9</v>
      </c>
      <c r="F662" t="str">
        <f>"2"</f>
        <v>2</v>
      </c>
      <c r="G662" s="2">
        <v>0</v>
      </c>
    </row>
    <row r="663" spans="1:7" x14ac:dyDescent="0.25">
      <c r="A663" s="1">
        <v>44651</v>
      </c>
      <c r="B663" t="str">
        <f t="shared" si="127"/>
        <v>2870</v>
      </c>
      <c r="C663" t="str">
        <f t="shared" si="128"/>
        <v>Прочие транзитные счета</v>
      </c>
      <c r="D663" t="str">
        <f t="shared" si="129"/>
        <v>2</v>
      </c>
      <c r="E663" t="str">
        <f>"9"</f>
        <v>9</v>
      </c>
      <c r="F663" t="str">
        <f>"3"</f>
        <v>3</v>
      </c>
      <c r="G663" s="2">
        <v>0</v>
      </c>
    </row>
    <row r="664" spans="1:7" x14ac:dyDescent="0.25">
      <c r="A664" s="1">
        <v>44651</v>
      </c>
      <c r="B664" t="str">
        <f t="shared" ref="B664:B669" si="130">"2874"</f>
        <v>2874</v>
      </c>
      <c r="C664" t="str">
        <f t="shared" ref="C664:C669" si="131"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D664" t="str">
        <f>"1"</f>
        <v>1</v>
      </c>
      <c r="E664" t="str">
        <f>""</f>
        <v/>
      </c>
      <c r="F664" t="str">
        <f>"1"</f>
        <v>1</v>
      </c>
      <c r="G664" s="2">
        <v>8806478.1099999994</v>
      </c>
    </row>
    <row r="665" spans="1:7" x14ac:dyDescent="0.25">
      <c r="A665" s="1">
        <v>44651</v>
      </c>
      <c r="B665" t="str">
        <f t="shared" si="130"/>
        <v>2874</v>
      </c>
      <c r="C665" t="str">
        <f t="shared" si="131"/>
        <v>Транзитные счета для переводов физических лиц без открытия счета</v>
      </c>
      <c r="D665" t="str">
        <f>"1"</f>
        <v>1</v>
      </c>
      <c r="E665" t="str">
        <f>""</f>
        <v/>
      </c>
      <c r="F665" t="str">
        <f>"2"</f>
        <v>2</v>
      </c>
      <c r="G665" s="2">
        <v>15492585.52</v>
      </c>
    </row>
    <row r="666" spans="1:7" x14ac:dyDescent="0.25">
      <c r="A666" s="1">
        <v>44651</v>
      </c>
      <c r="B666" t="str">
        <f t="shared" si="130"/>
        <v>2874</v>
      </c>
      <c r="C666" t="str">
        <f t="shared" si="131"/>
        <v>Транзитные счета для переводов физических лиц без открытия счета</v>
      </c>
      <c r="D666" t="str">
        <f>"1"</f>
        <v>1</v>
      </c>
      <c r="E666" t="str">
        <f>""</f>
        <v/>
      </c>
      <c r="F666" t="str">
        <f>"3"</f>
        <v>3</v>
      </c>
      <c r="G666" s="2">
        <v>0</v>
      </c>
    </row>
    <row r="667" spans="1:7" x14ac:dyDescent="0.25">
      <c r="A667" s="1">
        <v>44651</v>
      </c>
      <c r="B667" t="str">
        <f t="shared" si="130"/>
        <v>2874</v>
      </c>
      <c r="C667" t="str">
        <f t="shared" si="131"/>
        <v>Транзитные счета для переводов физических лиц без открытия счета</v>
      </c>
      <c r="D667" t="str">
        <f>"2"</f>
        <v>2</v>
      </c>
      <c r="E667" t="str">
        <f>""</f>
        <v/>
      </c>
      <c r="F667" t="str">
        <f>"1"</f>
        <v>1</v>
      </c>
      <c r="G667" s="2">
        <v>0</v>
      </c>
    </row>
    <row r="668" spans="1:7" x14ac:dyDescent="0.25">
      <c r="A668" s="1">
        <v>44651</v>
      </c>
      <c r="B668" t="str">
        <f t="shared" si="130"/>
        <v>2874</v>
      </c>
      <c r="C668" t="str">
        <f t="shared" si="131"/>
        <v>Транзитные счета для переводов физических лиц без открытия счета</v>
      </c>
      <c r="D668" t="str">
        <f>"2"</f>
        <v>2</v>
      </c>
      <c r="E668" t="str">
        <f>""</f>
        <v/>
      </c>
      <c r="F668" t="str">
        <f>"2"</f>
        <v>2</v>
      </c>
      <c r="G668" s="2">
        <v>2286532.4300000002</v>
      </c>
    </row>
    <row r="669" spans="1:7" x14ac:dyDescent="0.25">
      <c r="A669" s="1">
        <v>44651</v>
      </c>
      <c r="B669" t="str">
        <f t="shared" si="130"/>
        <v>2874</v>
      </c>
      <c r="C669" t="str">
        <f t="shared" si="131"/>
        <v>Транзитные счета для переводов физических лиц без открытия счета</v>
      </c>
      <c r="D669" t="str">
        <f>"2"</f>
        <v>2</v>
      </c>
      <c r="E669" t="str">
        <f>""</f>
        <v/>
      </c>
      <c r="F669" t="str">
        <f>"3"</f>
        <v>3</v>
      </c>
      <c r="G669" s="2">
        <v>0</v>
      </c>
    </row>
    <row r="670" spans="1:7" x14ac:dyDescent="0.25">
      <c r="A670" s="1">
        <v>44651</v>
      </c>
      <c r="B670" t="str">
        <f>"2875"</f>
        <v>2875</v>
      </c>
      <c r="C67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D670" t="str">
        <f>"1"</f>
        <v>1</v>
      </c>
      <c r="E670" t="str">
        <f>"7"</f>
        <v>7</v>
      </c>
      <c r="F670" t="str">
        <f>"1"</f>
        <v>1</v>
      </c>
      <c r="G670" s="2">
        <v>429500.07</v>
      </c>
    </row>
    <row r="671" spans="1:7" x14ac:dyDescent="0.25">
      <c r="A671" s="1">
        <v>44651</v>
      </c>
      <c r="B671" t="str">
        <f>"2875"</f>
        <v>2875</v>
      </c>
      <c r="C67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D671" t="str">
        <f>"1"</f>
        <v>1</v>
      </c>
      <c r="E671" t="str">
        <f>"7"</f>
        <v>7</v>
      </c>
      <c r="F671" t="str">
        <f>"2"</f>
        <v>2</v>
      </c>
      <c r="G671" s="2">
        <v>1198933893.5699999</v>
      </c>
    </row>
    <row r="672" spans="1:7" x14ac:dyDescent="0.25">
      <c r="A672" s="1">
        <v>44651</v>
      </c>
      <c r="B672" t="str">
        <f>"2875"</f>
        <v>2875</v>
      </c>
      <c r="C67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D672" t="str">
        <f>"1"</f>
        <v>1</v>
      </c>
      <c r="E672" t="str">
        <f>"7"</f>
        <v>7</v>
      </c>
      <c r="F672" t="str">
        <f>"3"</f>
        <v>3</v>
      </c>
      <c r="G672" s="2">
        <v>76252.77</v>
      </c>
    </row>
    <row r="673" spans="1:7" x14ac:dyDescent="0.25">
      <c r="A673" s="1">
        <v>44651</v>
      </c>
      <c r="B673" t="str">
        <f>"2875"</f>
        <v>2875</v>
      </c>
      <c r="C67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D673" t="str">
        <f>"1"</f>
        <v>1</v>
      </c>
      <c r="E673" t="str">
        <f>"9"</f>
        <v>9</v>
      </c>
      <c r="F673" t="str">
        <f>"1"</f>
        <v>1</v>
      </c>
      <c r="G673" s="2">
        <v>0.78</v>
      </c>
    </row>
    <row r="674" spans="1:7" x14ac:dyDescent="0.25">
      <c r="A674" s="1">
        <v>44651</v>
      </c>
      <c r="B674" t="str">
        <f>"2880"</f>
        <v>2880</v>
      </c>
      <c r="C674" t="str">
        <f>"Обязательства по секьюритизируемым активам"</f>
        <v>Обязательства по секьюритизируемым активам</v>
      </c>
      <c r="D674" t="str">
        <f>"1"</f>
        <v>1</v>
      </c>
      <c r="E674" t="str">
        <f>""</f>
        <v/>
      </c>
      <c r="F674" t="str">
        <f>"1"</f>
        <v>1</v>
      </c>
      <c r="G674" s="2">
        <v>2390762712.1900001</v>
      </c>
    </row>
    <row r="675" spans="1:7" x14ac:dyDescent="0.25">
      <c r="A675" s="1">
        <v>44651</v>
      </c>
      <c r="B675" t="str">
        <f>"2892"</f>
        <v>2892</v>
      </c>
      <c r="C675" t="str">
        <f>"Обязательства по операциям форвард"</f>
        <v>Обязательства по операциям форвард</v>
      </c>
      <c r="D675" t="str">
        <f>"2"</f>
        <v>2</v>
      </c>
      <c r="E675" t="str">
        <f>"4"</f>
        <v>4</v>
      </c>
      <c r="F675" t="str">
        <f>"1"</f>
        <v>1</v>
      </c>
      <c r="G675" s="2">
        <v>0</v>
      </c>
    </row>
    <row r="676" spans="1:7" x14ac:dyDescent="0.25">
      <c r="A676" s="1">
        <v>44651</v>
      </c>
      <c r="B676" t="str">
        <f>"2894"</f>
        <v>2894</v>
      </c>
      <c r="C676" t="str">
        <f>"Обязательства по операциям спот"</f>
        <v>Обязательства по операциям спот</v>
      </c>
      <c r="D676" t="str">
        <f>"1"</f>
        <v>1</v>
      </c>
      <c r="E676" t="str">
        <f>"4"</f>
        <v>4</v>
      </c>
      <c r="F676" t="str">
        <f>"1"</f>
        <v>1</v>
      </c>
      <c r="G676" s="2">
        <v>1408000000</v>
      </c>
    </row>
    <row r="677" spans="1:7" x14ac:dyDescent="0.25">
      <c r="A677" s="1">
        <v>44651</v>
      </c>
      <c r="B677" t="str">
        <f>"2894"</f>
        <v>2894</v>
      </c>
      <c r="C677" t="str">
        <f>"Обязательства по операциям спот"</f>
        <v>Обязательства по операциям спот</v>
      </c>
      <c r="D677" t="str">
        <f>"1"</f>
        <v>1</v>
      </c>
      <c r="E677" t="str">
        <f>"5"</f>
        <v>5</v>
      </c>
      <c r="F677" t="str">
        <f>"1"</f>
        <v>1</v>
      </c>
      <c r="G677" s="2">
        <v>10120981970</v>
      </c>
    </row>
    <row r="678" spans="1:7" x14ac:dyDescent="0.25">
      <c r="A678" s="1">
        <v>44651</v>
      </c>
      <c r="B678" t="str">
        <f>"2894"</f>
        <v>2894</v>
      </c>
      <c r="C678" t="str">
        <f>"Обязательства по операциям спот"</f>
        <v>Обязательства по операциям спот</v>
      </c>
      <c r="D678" t="str">
        <f>"1"</f>
        <v>1</v>
      </c>
      <c r="E678" t="str">
        <f>"5"</f>
        <v>5</v>
      </c>
      <c r="F678" t="str">
        <f>"2"</f>
        <v>2</v>
      </c>
      <c r="G678" s="2">
        <v>1165775000</v>
      </c>
    </row>
    <row r="679" spans="1:7" x14ac:dyDescent="0.25">
      <c r="A679" s="1">
        <v>44651</v>
      </c>
      <c r="B679" t="str">
        <f>"2894"</f>
        <v>2894</v>
      </c>
      <c r="C679" t="str">
        <f>"Обязательства по операциям спот"</f>
        <v>Обязательства по операциям спот</v>
      </c>
      <c r="D679" t="str">
        <f>"2"</f>
        <v>2</v>
      </c>
      <c r="E679" t="str">
        <f>"4"</f>
        <v>4</v>
      </c>
      <c r="F679" t="str">
        <f>"2"</f>
        <v>2</v>
      </c>
      <c r="G679" s="2">
        <v>1543276260.5</v>
      </c>
    </row>
    <row r="680" spans="1:7" x14ac:dyDescent="0.25">
      <c r="A680" s="1">
        <v>44651</v>
      </c>
      <c r="B680" t="str">
        <f>"2894"</f>
        <v>2894</v>
      </c>
      <c r="C680" t="str">
        <f>"Обязательства по операциям спот"</f>
        <v>Обязательства по операциям спот</v>
      </c>
      <c r="D680" t="str">
        <f>"2"</f>
        <v>2</v>
      </c>
      <c r="E680" t="str">
        <f>"4"</f>
        <v>4</v>
      </c>
      <c r="F680" t="str">
        <f>"3"</f>
        <v>3</v>
      </c>
      <c r="G680" s="2">
        <v>0</v>
      </c>
    </row>
    <row r="681" spans="1:7" x14ac:dyDescent="0.25">
      <c r="A681" s="1">
        <v>44651</v>
      </c>
      <c r="B681" t="str">
        <f>"2895"</f>
        <v>2895</v>
      </c>
      <c r="C681" t="str">
        <f>"Обязательства по операциям своп"</f>
        <v>Обязательства по операциям своп</v>
      </c>
      <c r="D681" t="str">
        <f>"1"</f>
        <v>1</v>
      </c>
      <c r="E681" t="str">
        <f>"5"</f>
        <v>5</v>
      </c>
      <c r="F681" t="str">
        <f>"1"</f>
        <v>1</v>
      </c>
      <c r="G681" s="2">
        <v>0</v>
      </c>
    </row>
    <row r="682" spans="1:7" x14ac:dyDescent="0.25">
      <c r="A682" s="1">
        <v>44651</v>
      </c>
      <c r="B682" t="str">
        <f>"2895"</f>
        <v>2895</v>
      </c>
      <c r="C682" t="str">
        <f>"Обязательства по операциям своп"</f>
        <v>Обязательства по операциям своп</v>
      </c>
      <c r="D682" t="str">
        <f>"1"</f>
        <v>1</v>
      </c>
      <c r="E682" t="str">
        <f>"5"</f>
        <v>5</v>
      </c>
      <c r="F682" t="str">
        <f>"2"</f>
        <v>2</v>
      </c>
      <c r="G682" s="2">
        <v>13264871094.15</v>
      </c>
    </row>
    <row r="683" spans="1:7" x14ac:dyDescent="0.25">
      <c r="A683" s="1">
        <v>44651</v>
      </c>
      <c r="B683" t="str">
        <f>"3001"</f>
        <v>3001</v>
      </c>
      <c r="C683" t="str">
        <f>"Уставный капитал – простые акции"</f>
        <v>Уставный капитал – простые акции</v>
      </c>
      <c r="D683" t="str">
        <f>""</f>
        <v/>
      </c>
      <c r="E683" t="str">
        <f>""</f>
        <v/>
      </c>
      <c r="F683" t="str">
        <f>""</f>
        <v/>
      </c>
      <c r="G683" s="2">
        <v>332814807748.5</v>
      </c>
    </row>
    <row r="684" spans="1:7" x14ac:dyDescent="0.25">
      <c r="A684" s="1">
        <v>44651</v>
      </c>
      <c r="B684" t="str">
        <f>"3003"</f>
        <v>3003</v>
      </c>
      <c r="C684" t="str">
        <f>"Выкупленные простые акции"</f>
        <v>Выкупленные простые акции</v>
      </c>
      <c r="D684" t="str">
        <f>""</f>
        <v/>
      </c>
      <c r="E684" t="str">
        <f>""</f>
        <v/>
      </c>
      <c r="F684" t="str">
        <f>""</f>
        <v/>
      </c>
      <c r="G684" s="2">
        <v>-3464534017.5599999</v>
      </c>
    </row>
    <row r="685" spans="1:7" x14ac:dyDescent="0.25">
      <c r="A685" s="1">
        <v>44651</v>
      </c>
      <c r="B685" t="str">
        <f>"3101"</f>
        <v>3101</v>
      </c>
      <c r="C685" t="str">
        <f>"Дополнительный оплаченный капитал"</f>
        <v>Дополнительный оплаченный капитал</v>
      </c>
      <c r="D685" t="str">
        <f>""</f>
        <v/>
      </c>
      <c r="E685" t="str">
        <f>""</f>
        <v/>
      </c>
      <c r="F685" t="str">
        <f>""</f>
        <v/>
      </c>
      <c r="G685" s="2">
        <v>23650949294.970001</v>
      </c>
    </row>
    <row r="686" spans="1:7" x14ac:dyDescent="0.25">
      <c r="A686" s="1">
        <v>44651</v>
      </c>
      <c r="B686" t="str">
        <f>"3510"</f>
        <v>3510</v>
      </c>
      <c r="C686" t="str">
        <f>"Резервный капитал"</f>
        <v>Резервный капитал</v>
      </c>
      <c r="D686" t="str">
        <f>""</f>
        <v/>
      </c>
      <c r="E686" t="str">
        <f>""</f>
        <v/>
      </c>
      <c r="F686" t="str">
        <f>""</f>
        <v/>
      </c>
      <c r="G686" s="2">
        <v>71553000000</v>
      </c>
    </row>
    <row r="687" spans="1:7" x14ac:dyDescent="0.25">
      <c r="A687" s="1">
        <v>44651</v>
      </c>
      <c r="B687" t="str">
        <f>"3561"</f>
        <v>3561</v>
      </c>
      <c r="C68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D687" t="str">
        <f>"1"</f>
        <v>1</v>
      </c>
      <c r="E687" t="str">
        <f>""</f>
        <v/>
      </c>
      <c r="F687" t="str">
        <f>"1"</f>
        <v>1</v>
      </c>
      <c r="G687" s="2">
        <v>-13801037730.01</v>
      </c>
    </row>
    <row r="688" spans="1:7" x14ac:dyDescent="0.25">
      <c r="A688" s="1">
        <v>44651</v>
      </c>
      <c r="B688" t="str">
        <f>"3561"</f>
        <v>3561</v>
      </c>
      <c r="C688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D688" t="str">
        <f>"1"</f>
        <v>1</v>
      </c>
      <c r="E688" t="str">
        <f>""</f>
        <v/>
      </c>
      <c r="F688" t="str">
        <f>"2"</f>
        <v>2</v>
      </c>
      <c r="G688" s="2">
        <v>-2963783779.3499999</v>
      </c>
    </row>
    <row r="689" spans="1:7" x14ac:dyDescent="0.25">
      <c r="A689" s="1">
        <v>44651</v>
      </c>
      <c r="B689" t="str">
        <f>"3561"</f>
        <v>3561</v>
      </c>
      <c r="C689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D689" t="str">
        <f>"2"</f>
        <v>2</v>
      </c>
      <c r="E689" t="str">
        <f>""</f>
        <v/>
      </c>
      <c r="F689" t="str">
        <f>"2"</f>
        <v>2</v>
      </c>
      <c r="G689" s="2">
        <v>-2203052091.5300002</v>
      </c>
    </row>
    <row r="690" spans="1:7" x14ac:dyDescent="0.25">
      <c r="A690" s="1">
        <v>44651</v>
      </c>
      <c r="B690" t="str">
        <f>"3562"</f>
        <v>3562</v>
      </c>
      <c r="C690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D690" t="str">
        <f>"1"</f>
        <v>1</v>
      </c>
      <c r="E690" t="str">
        <f>""</f>
        <v/>
      </c>
      <c r="F690" t="str">
        <f>"1"</f>
        <v>1</v>
      </c>
      <c r="G690" s="2">
        <v>444115796.33999997</v>
      </c>
    </row>
    <row r="691" spans="1:7" x14ac:dyDescent="0.25">
      <c r="A691" s="1">
        <v>44651</v>
      </c>
      <c r="B691" t="str">
        <f>"3562"</f>
        <v>3562</v>
      </c>
      <c r="C69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D691" t="str">
        <f>"1"</f>
        <v>1</v>
      </c>
      <c r="E691" t="str">
        <f>""</f>
        <v/>
      </c>
      <c r="F691" t="str">
        <f>"2"</f>
        <v>2</v>
      </c>
      <c r="G691" s="2">
        <v>122847212.77</v>
      </c>
    </row>
    <row r="692" spans="1:7" x14ac:dyDescent="0.25">
      <c r="A692" s="1">
        <v>44651</v>
      </c>
      <c r="B692" t="str">
        <f>"3562"</f>
        <v>3562</v>
      </c>
      <c r="C692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D692" t="str">
        <f>"2"</f>
        <v>2</v>
      </c>
      <c r="E692" t="str">
        <f>""</f>
        <v/>
      </c>
      <c r="F692" t="str">
        <f>"2"</f>
        <v>2</v>
      </c>
      <c r="G692" s="2">
        <v>179061859.12</v>
      </c>
    </row>
    <row r="693" spans="1:7" x14ac:dyDescent="0.25">
      <c r="A693" s="1">
        <v>44651</v>
      </c>
      <c r="B693" t="str">
        <f>"3580"</f>
        <v>3580</v>
      </c>
      <c r="C693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D693" t="str">
        <f>""</f>
        <v/>
      </c>
      <c r="E693" t="str">
        <f>""</f>
        <v/>
      </c>
      <c r="F693" t="str">
        <f>""</f>
        <v/>
      </c>
      <c r="G693" s="2">
        <v>-165539498476.95001</v>
      </c>
    </row>
    <row r="694" spans="1:7" x14ac:dyDescent="0.25">
      <c r="A694" s="1">
        <v>44651</v>
      </c>
      <c r="B694" t="str">
        <f>"3599"</f>
        <v>3599</v>
      </c>
      <c r="C694" t="str">
        <f>"Нераспределенная чистая прибыль (непокрытый убыток)"</f>
        <v>Нераспределенная чистая прибыль (непокрытый убыток)</v>
      </c>
      <c r="D694" t="str">
        <f>""</f>
        <v/>
      </c>
      <c r="E694" t="str">
        <f>""</f>
        <v/>
      </c>
      <c r="F694" t="str">
        <f>""</f>
        <v/>
      </c>
      <c r="G694" s="2">
        <v>15199502242.129999</v>
      </c>
    </row>
    <row r="695" spans="1:7" x14ac:dyDescent="0.25">
      <c r="A695" s="1">
        <v>44651</v>
      </c>
      <c r="B695" t="str">
        <f>"4052"</f>
        <v>4052</v>
      </c>
      <c r="C695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D695" t="str">
        <f>""</f>
        <v/>
      </c>
      <c r="E695" t="str">
        <f>""</f>
        <v/>
      </c>
      <c r="F695" t="str">
        <f>""</f>
        <v/>
      </c>
      <c r="G695" s="2">
        <v>8762980.8900000006</v>
      </c>
    </row>
    <row r="696" spans="1:7" x14ac:dyDescent="0.25">
      <c r="A696" s="1">
        <v>44651</v>
      </c>
      <c r="B696" t="str">
        <f>"4101"</f>
        <v>4101</v>
      </c>
      <c r="C696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D696" t="str">
        <f>""</f>
        <v/>
      </c>
      <c r="E696" t="str">
        <f>""</f>
        <v/>
      </c>
      <c r="F696" t="str">
        <f>""</f>
        <v/>
      </c>
      <c r="G696" s="2">
        <v>84201388.879999995</v>
      </c>
    </row>
    <row r="697" spans="1:7" x14ac:dyDescent="0.25">
      <c r="A697" s="1">
        <v>44651</v>
      </c>
      <c r="B697" t="str">
        <f>"4103"</f>
        <v>4103</v>
      </c>
      <c r="C697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D697" t="str">
        <f>""</f>
        <v/>
      </c>
      <c r="E697" t="str">
        <f>""</f>
        <v/>
      </c>
      <c r="F697" t="str">
        <f>""</f>
        <v/>
      </c>
      <c r="G697" s="2">
        <v>159825022.74000001</v>
      </c>
    </row>
    <row r="698" spans="1:7" x14ac:dyDescent="0.25">
      <c r="A698" s="1">
        <v>44651</v>
      </c>
      <c r="B698" t="str">
        <f>"4251"</f>
        <v>4251</v>
      </c>
      <c r="C698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D698" t="str">
        <f>""</f>
        <v/>
      </c>
      <c r="E698" t="str">
        <f>""</f>
        <v/>
      </c>
      <c r="F698" t="str">
        <f>""</f>
        <v/>
      </c>
      <c r="G698" s="2">
        <v>17916972.609999999</v>
      </c>
    </row>
    <row r="699" spans="1:7" x14ac:dyDescent="0.25">
      <c r="A699" s="1">
        <v>44651</v>
      </c>
      <c r="B699" t="str">
        <f>"4253"</f>
        <v>4253</v>
      </c>
      <c r="C699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D699" t="str">
        <f>""</f>
        <v/>
      </c>
      <c r="E699" t="str">
        <f>""</f>
        <v/>
      </c>
      <c r="F699" t="str">
        <f>""</f>
        <v/>
      </c>
      <c r="G699" s="2">
        <v>38398684.890000001</v>
      </c>
    </row>
    <row r="700" spans="1:7" x14ac:dyDescent="0.25">
      <c r="A700" s="1">
        <v>44651</v>
      </c>
      <c r="B700" t="str">
        <f>"4256"</f>
        <v>4256</v>
      </c>
      <c r="C700" t="str">
        <f>"Доходы, связанные с получением вознаграждения по условным вкладам, размещенным в других банках"</f>
        <v>Доходы, связанные с получением вознаграждения по условным вкладам, размещенным в других банках</v>
      </c>
      <c r="D700" t="str">
        <f>""</f>
        <v/>
      </c>
      <c r="E700" t="str">
        <f>""</f>
        <v/>
      </c>
      <c r="F700" t="str">
        <f>""</f>
        <v/>
      </c>
      <c r="G700" s="2">
        <v>138.18</v>
      </c>
    </row>
    <row r="701" spans="1:7" x14ac:dyDescent="0.25">
      <c r="A701" s="1">
        <v>44651</v>
      </c>
      <c r="B701" t="str">
        <f>"4401"</f>
        <v>4401</v>
      </c>
      <c r="C701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D701" t="str">
        <f>""</f>
        <v/>
      </c>
      <c r="E701" t="str">
        <f>""</f>
        <v/>
      </c>
      <c r="F701" t="str">
        <f>""</f>
        <v/>
      </c>
      <c r="G701" s="2">
        <v>206034550.69</v>
      </c>
    </row>
    <row r="702" spans="1:7" x14ac:dyDescent="0.25">
      <c r="A702" s="1">
        <v>44651</v>
      </c>
      <c r="B702" t="str">
        <f>"4403"</f>
        <v>4403</v>
      </c>
      <c r="C702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D702" t="str">
        <f>""</f>
        <v/>
      </c>
      <c r="E702" t="str">
        <f>""</f>
        <v/>
      </c>
      <c r="F702" t="str">
        <f>""</f>
        <v/>
      </c>
      <c r="G702" s="2">
        <v>190787656.62</v>
      </c>
    </row>
    <row r="703" spans="1:7" x14ac:dyDescent="0.25">
      <c r="A703" s="1">
        <v>44651</v>
      </c>
      <c r="B703" t="str">
        <f>"4411"</f>
        <v>4411</v>
      </c>
      <c r="C703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D703" t="str">
        <f>""</f>
        <v/>
      </c>
      <c r="E703" t="str">
        <f>""</f>
        <v/>
      </c>
      <c r="F703" t="str">
        <f>""</f>
        <v/>
      </c>
      <c r="G703" s="2">
        <v>3982860500.6300001</v>
      </c>
    </row>
    <row r="704" spans="1:7" x14ac:dyDescent="0.25">
      <c r="A704" s="1">
        <v>44651</v>
      </c>
      <c r="B704" t="str">
        <f>"4417"</f>
        <v>4417</v>
      </c>
      <c r="C704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D704" t="str">
        <f>""</f>
        <v/>
      </c>
      <c r="E704" t="str">
        <f>""</f>
        <v/>
      </c>
      <c r="F704" t="str">
        <f>""</f>
        <v/>
      </c>
      <c r="G704" s="2">
        <v>24456113790.43</v>
      </c>
    </row>
    <row r="705" spans="1:7" x14ac:dyDescent="0.25">
      <c r="A705" s="1">
        <v>44651</v>
      </c>
      <c r="B705" t="str">
        <f>"4424"</f>
        <v>4424</v>
      </c>
      <c r="C705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D705" t="str">
        <f>""</f>
        <v/>
      </c>
      <c r="E705" t="str">
        <f>""</f>
        <v/>
      </c>
      <c r="F705" t="str">
        <f>""</f>
        <v/>
      </c>
      <c r="G705" s="2">
        <v>334882535.50999999</v>
      </c>
    </row>
    <row r="706" spans="1:7" x14ac:dyDescent="0.25">
      <c r="A706" s="1">
        <v>44651</v>
      </c>
      <c r="B706" t="str">
        <f>"4429"</f>
        <v>4429</v>
      </c>
      <c r="C706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D706" t="str">
        <f>""</f>
        <v/>
      </c>
      <c r="E706" t="str">
        <f>""</f>
        <v/>
      </c>
      <c r="F706" t="str">
        <f>""</f>
        <v/>
      </c>
      <c r="G706" s="2">
        <v>415083.19</v>
      </c>
    </row>
    <row r="707" spans="1:7" x14ac:dyDescent="0.25">
      <c r="A707" s="1">
        <v>44651</v>
      </c>
      <c r="B707" t="str">
        <f>"4434"</f>
        <v>4434</v>
      </c>
      <c r="C707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D707" t="str">
        <f>""</f>
        <v/>
      </c>
      <c r="E707" t="str">
        <f>""</f>
        <v/>
      </c>
      <c r="F707" t="str">
        <f>""</f>
        <v/>
      </c>
      <c r="G707" s="2">
        <v>1717402239.3399999</v>
      </c>
    </row>
    <row r="708" spans="1:7" x14ac:dyDescent="0.25">
      <c r="A708" s="1">
        <v>44651</v>
      </c>
      <c r="B708" t="str">
        <f>"4452"</f>
        <v>4452</v>
      </c>
      <c r="C708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D708" t="str">
        <f>""</f>
        <v/>
      </c>
      <c r="E708" t="str">
        <f>""</f>
        <v/>
      </c>
      <c r="F708" t="str">
        <f>""</f>
        <v/>
      </c>
      <c r="G708" s="2">
        <v>11407833598.110001</v>
      </c>
    </row>
    <row r="709" spans="1:7" x14ac:dyDescent="0.25">
      <c r="A709" s="1">
        <v>44651</v>
      </c>
      <c r="B709" t="str">
        <f>"4453"</f>
        <v>4453</v>
      </c>
      <c r="C709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D709" t="str">
        <f>""</f>
        <v/>
      </c>
      <c r="E709" t="str">
        <f>""</f>
        <v/>
      </c>
      <c r="F709" t="str">
        <f>""</f>
        <v/>
      </c>
      <c r="G709" s="2">
        <v>3206600193.3899999</v>
      </c>
    </row>
    <row r="710" spans="1:7" x14ac:dyDescent="0.25">
      <c r="A710" s="1">
        <v>44651</v>
      </c>
      <c r="B710" t="str">
        <f>"4454"</f>
        <v>4454</v>
      </c>
      <c r="C710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D710" t="str">
        <f>""</f>
        <v/>
      </c>
      <c r="E710" t="str">
        <f>""</f>
        <v/>
      </c>
      <c r="F710" t="str">
        <f>""</f>
        <v/>
      </c>
      <c r="G710" s="2">
        <v>2726287.45</v>
      </c>
    </row>
    <row r="711" spans="1:7" x14ac:dyDescent="0.25">
      <c r="A711" s="1">
        <v>44651</v>
      </c>
      <c r="B711" t="str">
        <f>"4465"</f>
        <v>4465</v>
      </c>
      <c r="C711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D711" t="str">
        <f>""</f>
        <v/>
      </c>
      <c r="E711" t="str">
        <f>""</f>
        <v/>
      </c>
      <c r="F711" t="str">
        <f>""</f>
        <v/>
      </c>
      <c r="G711" s="2">
        <v>2528787878.77</v>
      </c>
    </row>
    <row r="712" spans="1:7" x14ac:dyDescent="0.25">
      <c r="A712" s="1">
        <v>44651</v>
      </c>
      <c r="B712" t="str">
        <f>"4481"</f>
        <v>4481</v>
      </c>
      <c r="C712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D712" t="str">
        <f>""</f>
        <v/>
      </c>
      <c r="E712" t="str">
        <f>""</f>
        <v/>
      </c>
      <c r="F712" t="str">
        <f>""</f>
        <v/>
      </c>
      <c r="G712" s="2">
        <v>4977153883.3699999</v>
      </c>
    </row>
    <row r="713" spans="1:7" x14ac:dyDescent="0.25">
      <c r="A713" s="1">
        <v>44651</v>
      </c>
      <c r="B713" t="str">
        <f>"4482"</f>
        <v>4482</v>
      </c>
      <c r="C713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D713" t="str">
        <f>""</f>
        <v/>
      </c>
      <c r="E713" t="str">
        <f>""</f>
        <v/>
      </c>
      <c r="F713" t="str">
        <f>""</f>
        <v/>
      </c>
      <c r="G713" s="2">
        <v>18102017.98</v>
      </c>
    </row>
    <row r="714" spans="1:7" x14ac:dyDescent="0.25">
      <c r="A714" s="1">
        <v>44651</v>
      </c>
      <c r="B714" t="str">
        <f>"4530"</f>
        <v>4530</v>
      </c>
      <c r="C714" t="str">
        <f>"Доходы по купле-продаже иностранной валюты"</f>
        <v>Доходы по купле-продаже иностранной валюты</v>
      </c>
      <c r="D714" t="str">
        <f>""</f>
        <v/>
      </c>
      <c r="E714" t="str">
        <f>""</f>
        <v/>
      </c>
      <c r="F714" t="str">
        <f>""</f>
        <v/>
      </c>
      <c r="G714" s="2">
        <v>14152546339.27</v>
      </c>
    </row>
    <row r="715" spans="1:7" x14ac:dyDescent="0.25">
      <c r="A715" s="1">
        <v>44651</v>
      </c>
      <c r="B715" t="str">
        <f>"4570"</f>
        <v>4570</v>
      </c>
      <c r="C715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D715" t="str">
        <f>""</f>
        <v/>
      </c>
      <c r="E715" t="str">
        <f>""</f>
        <v/>
      </c>
      <c r="F715" t="str">
        <f>""</f>
        <v/>
      </c>
      <c r="G715" s="2">
        <v>559100000</v>
      </c>
    </row>
    <row r="716" spans="1:7" x14ac:dyDescent="0.25">
      <c r="A716" s="1">
        <v>44651</v>
      </c>
      <c r="B716" t="str">
        <f>"4601"</f>
        <v>4601</v>
      </c>
      <c r="C716" t="str">
        <f>"Комиссионные доходы за услуги по переводным операциям"</f>
        <v>Комиссионные доходы за услуги по переводным операциям</v>
      </c>
      <c r="D716" t="str">
        <f>""</f>
        <v/>
      </c>
      <c r="E716" t="str">
        <f>""</f>
        <v/>
      </c>
      <c r="F716" t="str">
        <f>""</f>
        <v/>
      </c>
      <c r="G716" s="2">
        <v>1224288190.76</v>
      </c>
    </row>
    <row r="717" spans="1:7" x14ac:dyDescent="0.25">
      <c r="A717" s="1">
        <v>44651</v>
      </c>
      <c r="B717" t="str">
        <f>"4602"</f>
        <v>4602</v>
      </c>
      <c r="C717" t="str">
        <f>"Комиссионные доходы за агентские услуги"</f>
        <v>Комиссионные доходы за агентские услуги</v>
      </c>
      <c r="D717" t="str">
        <f>""</f>
        <v/>
      </c>
      <c r="E717" t="str">
        <f>""</f>
        <v/>
      </c>
      <c r="F717" t="str">
        <f>""</f>
        <v/>
      </c>
      <c r="G717" s="2">
        <v>2287563.48</v>
      </c>
    </row>
    <row r="718" spans="1:7" x14ac:dyDescent="0.25">
      <c r="A718" s="1">
        <v>44651</v>
      </c>
      <c r="B718" t="str">
        <f>"4604"</f>
        <v>4604</v>
      </c>
      <c r="C718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D718" t="str">
        <f>""</f>
        <v/>
      </c>
      <c r="E718" t="str">
        <f>""</f>
        <v/>
      </c>
      <c r="F718" t="str">
        <f>""</f>
        <v/>
      </c>
      <c r="G718" s="2">
        <v>66539422.399999999</v>
      </c>
    </row>
    <row r="719" spans="1:7" x14ac:dyDescent="0.25">
      <c r="A719" s="1">
        <v>44651</v>
      </c>
      <c r="B719" t="str">
        <f>"4605"</f>
        <v>4605</v>
      </c>
      <c r="C719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D719" t="str">
        <f>""</f>
        <v/>
      </c>
      <c r="E719" t="str">
        <f>""</f>
        <v/>
      </c>
      <c r="F719" t="str">
        <f>""</f>
        <v/>
      </c>
      <c r="G719" s="2">
        <v>25590338.390000001</v>
      </c>
    </row>
    <row r="720" spans="1:7" x14ac:dyDescent="0.25">
      <c r="A720" s="1">
        <v>44651</v>
      </c>
      <c r="B720" t="str">
        <f>"4606"</f>
        <v>4606</v>
      </c>
      <c r="C720" t="str">
        <f>"Комиссионные доходы за услуги по операциям с гарантиями"</f>
        <v>Комиссионные доходы за услуги по операциям с гарантиями</v>
      </c>
      <c r="D720" t="str">
        <f>""</f>
        <v/>
      </c>
      <c r="E720" t="str">
        <f>""</f>
        <v/>
      </c>
      <c r="F720" t="str">
        <f>""</f>
        <v/>
      </c>
      <c r="G720" s="2">
        <v>502243337.70999998</v>
      </c>
    </row>
    <row r="721" spans="1:7" x14ac:dyDescent="0.25">
      <c r="A721" s="1">
        <v>44651</v>
      </c>
      <c r="B721" t="str">
        <f>"4607"</f>
        <v>4607</v>
      </c>
      <c r="C72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D721" t="str">
        <f>""</f>
        <v/>
      </c>
      <c r="E721" t="str">
        <f>""</f>
        <v/>
      </c>
      <c r="F721" t="str">
        <f>""</f>
        <v/>
      </c>
      <c r="G721" s="2">
        <v>459174493.87</v>
      </c>
    </row>
    <row r="722" spans="1:7" x14ac:dyDescent="0.25">
      <c r="A722" s="1">
        <v>44651</v>
      </c>
      <c r="B722" t="str">
        <f>"4608"</f>
        <v>4608</v>
      </c>
      <c r="C722" t="str">
        <f>"Прочие комиссионные доходы"</f>
        <v>Прочие комиссионные доходы</v>
      </c>
      <c r="D722" t="str">
        <f>""</f>
        <v/>
      </c>
      <c r="E722" t="str">
        <f>""</f>
        <v/>
      </c>
      <c r="F722" t="str">
        <f>""</f>
        <v/>
      </c>
      <c r="G722" s="2">
        <v>199747562.34999999</v>
      </c>
    </row>
    <row r="723" spans="1:7" x14ac:dyDescent="0.25">
      <c r="A723" s="1">
        <v>44651</v>
      </c>
      <c r="B723" t="str">
        <f>"4611"</f>
        <v>4611</v>
      </c>
      <c r="C723" t="str">
        <f>"Комиссионные доходы за услуги по кассовым операциям"</f>
        <v>Комиссионные доходы за услуги по кассовым операциям</v>
      </c>
      <c r="D723" t="str">
        <f>""</f>
        <v/>
      </c>
      <c r="E723" t="str">
        <f>""</f>
        <v/>
      </c>
      <c r="F723" t="str">
        <f>""</f>
        <v/>
      </c>
      <c r="G723" s="2">
        <v>1025546400.62</v>
      </c>
    </row>
    <row r="724" spans="1:7" x14ac:dyDescent="0.25">
      <c r="A724" s="1">
        <v>44651</v>
      </c>
      <c r="B724" t="str">
        <f>"4612"</f>
        <v>4612</v>
      </c>
      <c r="C724" t="str">
        <f>"Комиссионные доходы по документарным расчетам"</f>
        <v>Комиссионные доходы по документарным расчетам</v>
      </c>
      <c r="D724" t="str">
        <f>""</f>
        <v/>
      </c>
      <c r="E724" t="str">
        <f>""</f>
        <v/>
      </c>
      <c r="F724" t="str">
        <f>""</f>
        <v/>
      </c>
      <c r="G724" s="2">
        <v>6938646.5499999998</v>
      </c>
    </row>
    <row r="725" spans="1:7" x14ac:dyDescent="0.25">
      <c r="A725" s="1">
        <v>44651</v>
      </c>
      <c r="B725" t="str">
        <f>"4617"</f>
        <v>4617</v>
      </c>
      <c r="C725" t="str">
        <f>"Комиссионные доходы за услуги по сейфовым операциям"</f>
        <v>Комиссионные доходы за услуги по сейфовым операциям</v>
      </c>
      <c r="D725" t="str">
        <f>""</f>
        <v/>
      </c>
      <c r="E725" t="str">
        <f>""</f>
        <v/>
      </c>
      <c r="F725" t="str">
        <f>""</f>
        <v/>
      </c>
      <c r="G725" s="2">
        <v>28033257.699999999</v>
      </c>
    </row>
    <row r="726" spans="1:7" x14ac:dyDescent="0.25">
      <c r="A726" s="1">
        <v>44651</v>
      </c>
      <c r="B726" t="str">
        <f>"4619"</f>
        <v>4619</v>
      </c>
      <c r="C726" t="str">
        <f>"Комиссионные доходы за обслуживание платежных карточек"</f>
        <v>Комиссионные доходы за обслуживание платежных карточек</v>
      </c>
      <c r="D726" t="str">
        <f>""</f>
        <v/>
      </c>
      <c r="E726" t="str">
        <f>""</f>
        <v/>
      </c>
      <c r="F726" t="str">
        <f>""</f>
        <v/>
      </c>
      <c r="G726" s="2">
        <v>4129986594.6500001</v>
      </c>
    </row>
    <row r="727" spans="1:7" x14ac:dyDescent="0.25">
      <c r="A727" s="1">
        <v>44651</v>
      </c>
      <c r="B727" t="str">
        <f>"4703"</f>
        <v>4703</v>
      </c>
      <c r="C727" t="str">
        <f>"Доход от переоценки иностранной валюты"</f>
        <v>Доход от переоценки иностранной валюты</v>
      </c>
      <c r="D727" t="str">
        <f>""</f>
        <v/>
      </c>
      <c r="E727" t="str">
        <f>""</f>
        <v/>
      </c>
      <c r="F727" t="str">
        <f>""</f>
        <v/>
      </c>
      <c r="G727" s="2">
        <v>2017064753919.9299</v>
      </c>
    </row>
    <row r="728" spans="1:7" x14ac:dyDescent="0.25">
      <c r="A728" s="1">
        <v>44651</v>
      </c>
      <c r="B728" t="str">
        <f>"4709"</f>
        <v>4709</v>
      </c>
      <c r="C728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D728" t="str">
        <f>""</f>
        <v/>
      </c>
      <c r="E728" t="str">
        <f>""</f>
        <v/>
      </c>
      <c r="F728" t="str">
        <f>""</f>
        <v/>
      </c>
      <c r="G728" s="2">
        <v>2850502.13</v>
      </c>
    </row>
    <row r="729" spans="1:7" x14ac:dyDescent="0.25">
      <c r="A729" s="1">
        <v>44651</v>
      </c>
      <c r="B729" t="str">
        <f>"4733"</f>
        <v>4733</v>
      </c>
      <c r="C729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D729" t="str">
        <f>""</f>
        <v/>
      </c>
      <c r="E729" t="str">
        <f>""</f>
        <v/>
      </c>
      <c r="F729" t="str">
        <f>""</f>
        <v/>
      </c>
      <c r="G729" s="2">
        <v>49870459.869999997</v>
      </c>
    </row>
    <row r="730" spans="1:7" x14ac:dyDescent="0.25">
      <c r="A730" s="1">
        <v>44651</v>
      </c>
      <c r="B730" t="str">
        <f>"4734"</f>
        <v>4734</v>
      </c>
      <c r="C730" t="str">
        <f>"Доходы от прочей переоценки"</f>
        <v>Доходы от прочей переоценки</v>
      </c>
      <c r="D730" t="str">
        <f>""</f>
        <v/>
      </c>
      <c r="E730" t="str">
        <f>""</f>
        <v/>
      </c>
      <c r="F730" t="str">
        <f>""</f>
        <v/>
      </c>
      <c r="G730" s="2">
        <v>20999670476.799999</v>
      </c>
    </row>
    <row r="731" spans="1:7" x14ac:dyDescent="0.25">
      <c r="A731" s="1">
        <v>44651</v>
      </c>
      <c r="B731" t="str">
        <f>"4853"</f>
        <v>4853</v>
      </c>
      <c r="C731" t="str">
        <f>"Доходы от реализации запасов"</f>
        <v>Доходы от реализации запасов</v>
      </c>
      <c r="D731" t="str">
        <f>""</f>
        <v/>
      </c>
      <c r="E731" t="str">
        <f>""</f>
        <v/>
      </c>
      <c r="F731" t="str">
        <f>""</f>
        <v/>
      </c>
      <c r="G731" s="2">
        <v>56834936.329999998</v>
      </c>
    </row>
    <row r="732" spans="1:7" x14ac:dyDescent="0.25">
      <c r="A732" s="1">
        <v>44651</v>
      </c>
      <c r="B732" t="str">
        <f>"4892"</f>
        <v>4892</v>
      </c>
      <c r="C732" t="str">
        <f>"Доходы по операциям форвард"</f>
        <v>Доходы по операциям форвард</v>
      </c>
      <c r="D732" t="str">
        <f>""</f>
        <v/>
      </c>
      <c r="E732" t="str">
        <f>""</f>
        <v/>
      </c>
      <c r="F732" t="str">
        <f>""</f>
        <v/>
      </c>
      <c r="G732" s="2">
        <v>39397401.149999999</v>
      </c>
    </row>
    <row r="733" spans="1:7" x14ac:dyDescent="0.25">
      <c r="A733" s="1">
        <v>44651</v>
      </c>
      <c r="B733" t="str">
        <f>"4895"</f>
        <v>4895</v>
      </c>
      <c r="C733" t="str">
        <f>"Доходы по операциям своп"</f>
        <v>Доходы по операциям своп</v>
      </c>
      <c r="D733" t="str">
        <f>""</f>
        <v/>
      </c>
      <c r="E733" t="str">
        <f>""</f>
        <v/>
      </c>
      <c r="F733" t="str">
        <f>""</f>
        <v/>
      </c>
      <c r="G733" s="2">
        <v>7510166809.3299999</v>
      </c>
    </row>
    <row r="734" spans="1:7" x14ac:dyDescent="0.25">
      <c r="A734" s="1">
        <v>44651</v>
      </c>
      <c r="B734" t="str">
        <f>"4900"</f>
        <v>4900</v>
      </c>
      <c r="C734" t="str">
        <f>"Неустойка (штраф, пеня)"</f>
        <v>Неустойка (штраф, пеня)</v>
      </c>
      <c r="D734" t="str">
        <f>""</f>
        <v/>
      </c>
      <c r="E734" t="str">
        <f>""</f>
        <v/>
      </c>
      <c r="F734" t="str">
        <f>""</f>
        <v/>
      </c>
      <c r="G734" s="2">
        <v>244731226.16</v>
      </c>
    </row>
    <row r="735" spans="1:7" x14ac:dyDescent="0.25">
      <c r="A735" s="1">
        <v>44651</v>
      </c>
      <c r="B735" t="str">
        <f>"4921"</f>
        <v>4921</v>
      </c>
      <c r="C735" t="str">
        <f>"Прочие доходы от банковской деятельности"</f>
        <v>Прочие доходы от банковской деятельности</v>
      </c>
      <c r="D735" t="str">
        <f>""</f>
        <v/>
      </c>
      <c r="E735" t="str">
        <f>""</f>
        <v/>
      </c>
      <c r="F735" t="str">
        <f>""</f>
        <v/>
      </c>
      <c r="G735" s="2">
        <v>158898446.28</v>
      </c>
    </row>
    <row r="736" spans="1:7" x14ac:dyDescent="0.25">
      <c r="A736" s="1">
        <v>44651</v>
      </c>
      <c r="B736" t="str">
        <f>"4922"</f>
        <v>4922</v>
      </c>
      <c r="C736" t="str">
        <f>"Прочие доходы от неосновной деятельности"</f>
        <v>Прочие доходы от неосновной деятельности</v>
      </c>
      <c r="D736" t="str">
        <f>""</f>
        <v/>
      </c>
      <c r="E736" t="str">
        <f>""</f>
        <v/>
      </c>
      <c r="F736" t="str">
        <f>""</f>
        <v/>
      </c>
      <c r="G736" s="2">
        <v>256745342.72999999</v>
      </c>
    </row>
    <row r="737" spans="1:7" x14ac:dyDescent="0.25">
      <c r="A737" s="1">
        <v>44651</v>
      </c>
      <c r="B737" t="str">
        <f>"4951"</f>
        <v>4951</v>
      </c>
      <c r="C737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D737" t="str">
        <f>""</f>
        <v/>
      </c>
      <c r="E737" t="str">
        <f>""</f>
        <v/>
      </c>
      <c r="F737" t="str">
        <f>""</f>
        <v/>
      </c>
      <c r="G737" s="2">
        <v>37069964.950000003</v>
      </c>
    </row>
    <row r="738" spans="1:7" x14ac:dyDescent="0.25">
      <c r="A738" s="1">
        <v>44651</v>
      </c>
      <c r="B738" t="str">
        <f>"4953"</f>
        <v>4953</v>
      </c>
      <c r="C738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D738" t="str">
        <f>""</f>
        <v/>
      </c>
      <c r="E738" t="str">
        <f>""</f>
        <v/>
      </c>
      <c r="F738" t="str">
        <f>""</f>
        <v/>
      </c>
      <c r="G738" s="2">
        <v>707172857.19000006</v>
      </c>
    </row>
    <row r="739" spans="1:7" x14ac:dyDescent="0.25">
      <c r="A739" s="1">
        <v>44651</v>
      </c>
      <c r="B739" t="str">
        <f>"4954"</f>
        <v>4954</v>
      </c>
      <c r="C739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D739" t="str">
        <f>""</f>
        <v/>
      </c>
      <c r="E739" t="str">
        <f>""</f>
        <v/>
      </c>
      <c r="F739" t="str">
        <f>""</f>
        <v/>
      </c>
      <c r="G739" s="2">
        <v>163709205.03999999</v>
      </c>
    </row>
    <row r="740" spans="1:7" x14ac:dyDescent="0.25">
      <c r="A740" s="1">
        <v>44651</v>
      </c>
      <c r="B740" t="str">
        <f>"4955"</f>
        <v>4955</v>
      </c>
      <c r="C740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D740" t="str">
        <f>""</f>
        <v/>
      </c>
      <c r="E740" t="str">
        <f>""</f>
        <v/>
      </c>
      <c r="F740" t="str">
        <f>""</f>
        <v/>
      </c>
      <c r="G740" s="2">
        <v>14336066068.23</v>
      </c>
    </row>
    <row r="741" spans="1:7" x14ac:dyDescent="0.25">
      <c r="A741" s="1">
        <v>44651</v>
      </c>
      <c r="B741" t="str">
        <f>"4956"</f>
        <v>4956</v>
      </c>
      <c r="C741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D741" t="str">
        <f>""</f>
        <v/>
      </c>
      <c r="E741" t="str">
        <f>""</f>
        <v/>
      </c>
      <c r="F741" t="str">
        <f>""</f>
        <v/>
      </c>
      <c r="G741" s="2">
        <v>634622.4</v>
      </c>
    </row>
    <row r="742" spans="1:7" x14ac:dyDescent="0.25">
      <c r="A742" s="1">
        <v>44651</v>
      </c>
      <c r="B742" t="str">
        <f>"4957"</f>
        <v>4957</v>
      </c>
      <c r="C742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D742" t="str">
        <f>""</f>
        <v/>
      </c>
      <c r="E742" t="str">
        <f>""</f>
        <v/>
      </c>
      <c r="F742" t="str">
        <f>""</f>
        <v/>
      </c>
      <c r="G742" s="2">
        <v>33110086.649999999</v>
      </c>
    </row>
    <row r="743" spans="1:7" x14ac:dyDescent="0.25">
      <c r="A743" s="1">
        <v>44651</v>
      </c>
      <c r="B743" t="str">
        <f>"4958"</f>
        <v>4958</v>
      </c>
      <c r="C743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D743" t="str">
        <f>""</f>
        <v/>
      </c>
      <c r="E743" t="str">
        <f>""</f>
        <v/>
      </c>
      <c r="F743" t="str">
        <f>""</f>
        <v/>
      </c>
      <c r="G743" s="2">
        <v>273281467.94</v>
      </c>
    </row>
    <row r="744" spans="1:7" x14ac:dyDescent="0.25">
      <c r="A744" s="1">
        <v>44651</v>
      </c>
      <c r="B744" t="str">
        <f>"4959"</f>
        <v>4959</v>
      </c>
      <c r="C744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D744" t="str">
        <f>""</f>
        <v/>
      </c>
      <c r="E744" t="str">
        <f>""</f>
        <v/>
      </c>
      <c r="F744" t="str">
        <f>""</f>
        <v/>
      </c>
      <c r="G744" s="2">
        <v>200520.64</v>
      </c>
    </row>
    <row r="745" spans="1:7" x14ac:dyDescent="0.25">
      <c r="A745" s="1">
        <v>44651</v>
      </c>
      <c r="B745" t="str">
        <f>"4960"</f>
        <v>4960</v>
      </c>
      <c r="C745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D745" t="str">
        <f>""</f>
        <v/>
      </c>
      <c r="E745" t="str">
        <f>""</f>
        <v/>
      </c>
      <c r="F745" t="str">
        <f>""</f>
        <v/>
      </c>
      <c r="G745" s="2">
        <v>143421.98000000001</v>
      </c>
    </row>
    <row r="746" spans="1:7" x14ac:dyDescent="0.25">
      <c r="A746" s="1">
        <v>44651</v>
      </c>
      <c r="B746" t="str">
        <f>"5046"</f>
        <v>5046</v>
      </c>
      <c r="C746" t="str">
        <f>"Расходы, связанные с выплатой вознаграждения по долгосрочным займам, полученным от международных финансовых организаций"</f>
        <v>Расходы, связанные с выплатой вознаграждения по долгосрочным займам, полученным от международных финансовых организаций</v>
      </c>
      <c r="D746" t="str">
        <f>""</f>
        <v/>
      </c>
      <c r="E746" t="str">
        <f>""</f>
        <v/>
      </c>
      <c r="F746" t="str">
        <f>""</f>
        <v/>
      </c>
      <c r="G746" s="2">
        <v>576468938.34000003</v>
      </c>
    </row>
    <row r="747" spans="1:7" x14ac:dyDescent="0.25">
      <c r="A747" s="1">
        <v>44651</v>
      </c>
      <c r="B747" t="str">
        <f>"5056"</f>
        <v>5056</v>
      </c>
      <c r="C747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D747" t="str">
        <f>""</f>
        <v/>
      </c>
      <c r="E747" t="str">
        <f>""</f>
        <v/>
      </c>
      <c r="F747" t="str">
        <f>""</f>
        <v/>
      </c>
      <c r="G747" s="2">
        <v>67744793.390000001</v>
      </c>
    </row>
    <row r="748" spans="1:7" x14ac:dyDescent="0.25">
      <c r="A748" s="1">
        <v>44651</v>
      </c>
      <c r="B748" t="str">
        <f>"5066"</f>
        <v>5066</v>
      </c>
      <c r="C748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D748" t="str">
        <f>""</f>
        <v/>
      </c>
      <c r="E748" t="str">
        <f>""</f>
        <v/>
      </c>
      <c r="F748" t="str">
        <f>""</f>
        <v/>
      </c>
      <c r="G748" s="2">
        <v>173460142.08000001</v>
      </c>
    </row>
    <row r="749" spans="1:7" x14ac:dyDescent="0.25">
      <c r="A749" s="1">
        <v>44651</v>
      </c>
      <c r="B749" t="str">
        <f>"5069"</f>
        <v>5069</v>
      </c>
      <c r="C749" t="str">
        <f>"Расходы по амортизации дисконта по полученным займам"</f>
        <v>Расходы по амортизации дисконта по полученным займам</v>
      </c>
      <c r="D749" t="str">
        <f>""</f>
        <v/>
      </c>
      <c r="E749" t="str">
        <f>""</f>
        <v/>
      </c>
      <c r="F749" t="str">
        <f>""</f>
        <v/>
      </c>
      <c r="G749" s="2">
        <v>25002997.41</v>
      </c>
    </row>
    <row r="750" spans="1:7" x14ac:dyDescent="0.25">
      <c r="A750" s="1">
        <v>44651</v>
      </c>
      <c r="B750" t="str">
        <f>"5203"</f>
        <v>5203</v>
      </c>
      <c r="C750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D750" t="str">
        <f>""</f>
        <v/>
      </c>
      <c r="E750" t="str">
        <f>""</f>
        <v/>
      </c>
      <c r="F750" t="str">
        <f>""</f>
        <v/>
      </c>
      <c r="G750" s="2">
        <v>247329.87</v>
      </c>
    </row>
    <row r="751" spans="1:7" x14ac:dyDescent="0.25">
      <c r="A751" s="1">
        <v>44651</v>
      </c>
      <c r="B751" t="str">
        <f>"5215"</f>
        <v>5215</v>
      </c>
      <c r="C751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D751" t="str">
        <f>""</f>
        <v/>
      </c>
      <c r="E751" t="str">
        <f>""</f>
        <v/>
      </c>
      <c r="F751" t="str">
        <f>""</f>
        <v/>
      </c>
      <c r="G751" s="2">
        <v>13532512571.76</v>
      </c>
    </row>
    <row r="752" spans="1:7" x14ac:dyDescent="0.25">
      <c r="A752" s="1">
        <v>44651</v>
      </c>
      <c r="B752" t="str">
        <f>"5217"</f>
        <v>5217</v>
      </c>
      <c r="C752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D752" t="str">
        <f>""</f>
        <v/>
      </c>
      <c r="E752" t="str">
        <f>""</f>
        <v/>
      </c>
      <c r="F752" t="str">
        <f>""</f>
        <v/>
      </c>
      <c r="G752" s="2">
        <v>2263612276.8899999</v>
      </c>
    </row>
    <row r="753" spans="1:7" x14ac:dyDescent="0.25">
      <c r="A753" s="1">
        <v>44651</v>
      </c>
      <c r="B753" t="str">
        <f>"5218"</f>
        <v>5218</v>
      </c>
      <c r="C753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D753" t="str">
        <f>""</f>
        <v/>
      </c>
      <c r="E753" t="str">
        <f>""</f>
        <v/>
      </c>
      <c r="F753" t="str">
        <f>""</f>
        <v/>
      </c>
      <c r="G753" s="2">
        <v>776619739.38999999</v>
      </c>
    </row>
    <row r="754" spans="1:7" x14ac:dyDescent="0.25">
      <c r="A754" s="1">
        <v>44651</v>
      </c>
      <c r="B754" t="str">
        <f>"5219"</f>
        <v>5219</v>
      </c>
      <c r="C754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D754" t="str">
        <f>""</f>
        <v/>
      </c>
      <c r="E754" t="str">
        <f>""</f>
        <v/>
      </c>
      <c r="F754" t="str">
        <f>""</f>
        <v/>
      </c>
      <c r="G754" s="2">
        <v>19906980.5</v>
      </c>
    </row>
    <row r="755" spans="1:7" x14ac:dyDescent="0.25">
      <c r="A755" s="1">
        <v>44651</v>
      </c>
      <c r="B755" t="str">
        <f>"5220"</f>
        <v>5220</v>
      </c>
      <c r="C755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D755" t="str">
        <f>""</f>
        <v/>
      </c>
      <c r="E755" t="str">
        <f>""</f>
        <v/>
      </c>
      <c r="F755" t="str">
        <f>""</f>
        <v/>
      </c>
      <c r="G755" s="2">
        <v>1103047.8600000001</v>
      </c>
    </row>
    <row r="756" spans="1:7" x14ac:dyDescent="0.25">
      <c r="A756" s="1">
        <v>44651</v>
      </c>
      <c r="B756" t="str">
        <f>"5223"</f>
        <v>5223</v>
      </c>
      <c r="C756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D756" t="str">
        <f>""</f>
        <v/>
      </c>
      <c r="E756" t="str">
        <f>""</f>
        <v/>
      </c>
      <c r="F756" t="str">
        <f>""</f>
        <v/>
      </c>
      <c r="G756" s="2">
        <v>277273868.81</v>
      </c>
    </row>
    <row r="757" spans="1:7" x14ac:dyDescent="0.25">
      <c r="A757" s="1">
        <v>44651</v>
      </c>
      <c r="B757" t="str">
        <f>"5227"</f>
        <v>5227</v>
      </c>
      <c r="C757" t="str">
        <f>"Процентные расходы по обязательствам по аренде"</f>
        <v>Процентные расходы по обязательствам по аренде</v>
      </c>
      <c r="D757" t="str">
        <f>""</f>
        <v/>
      </c>
      <c r="E757" t="str">
        <f>""</f>
        <v/>
      </c>
      <c r="F757" t="str">
        <f>""</f>
        <v/>
      </c>
      <c r="G757" s="2">
        <v>44147308.460000001</v>
      </c>
    </row>
    <row r="758" spans="1:7" x14ac:dyDescent="0.25">
      <c r="A758" s="1">
        <v>44651</v>
      </c>
      <c r="B758" t="str">
        <f>"5229"</f>
        <v>5229</v>
      </c>
      <c r="C758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D758" t="str">
        <f>""</f>
        <v/>
      </c>
      <c r="E758" t="str">
        <f>""</f>
        <v/>
      </c>
      <c r="F758" t="str">
        <f>""</f>
        <v/>
      </c>
      <c r="G758" s="2">
        <v>6584933.5499999998</v>
      </c>
    </row>
    <row r="759" spans="1:7" x14ac:dyDescent="0.25">
      <c r="A759" s="1">
        <v>44651</v>
      </c>
      <c r="B759" t="str">
        <f>"5236"</f>
        <v>5236</v>
      </c>
      <c r="C759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D759" t="str">
        <f>""</f>
        <v/>
      </c>
      <c r="E759" t="str">
        <f>""</f>
        <v/>
      </c>
      <c r="F759" t="str">
        <f>""</f>
        <v/>
      </c>
      <c r="G759" s="2">
        <v>74952774.799999997</v>
      </c>
    </row>
    <row r="760" spans="1:7" x14ac:dyDescent="0.25">
      <c r="A760" s="1">
        <v>44651</v>
      </c>
      <c r="B760" t="str">
        <f>"5240"</f>
        <v>5240</v>
      </c>
      <c r="C760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D760" t="str">
        <f>""</f>
        <v/>
      </c>
      <c r="E760" t="str">
        <f>""</f>
        <v/>
      </c>
      <c r="F760" t="str">
        <f>""</f>
        <v/>
      </c>
      <c r="G760" s="2">
        <v>74843153.060000002</v>
      </c>
    </row>
    <row r="761" spans="1:7" x14ac:dyDescent="0.25">
      <c r="A761" s="1">
        <v>44651</v>
      </c>
      <c r="B761" t="str">
        <f>"5250"</f>
        <v>5250</v>
      </c>
      <c r="C761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D761" t="str">
        <f>""</f>
        <v/>
      </c>
      <c r="E761" t="str">
        <f>""</f>
        <v/>
      </c>
      <c r="F761" t="str">
        <f>""</f>
        <v/>
      </c>
      <c r="G761" s="2">
        <v>879017265.17999995</v>
      </c>
    </row>
    <row r="762" spans="1:7" x14ac:dyDescent="0.25">
      <c r="A762" s="1">
        <v>44651</v>
      </c>
      <c r="B762" t="str">
        <f>"5301"</f>
        <v>5301</v>
      </c>
      <c r="C762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D762" t="str">
        <f>""</f>
        <v/>
      </c>
      <c r="E762" t="str">
        <f>""</f>
        <v/>
      </c>
      <c r="F762" t="str">
        <f>""</f>
        <v/>
      </c>
      <c r="G762" s="2">
        <v>4166453408.3499999</v>
      </c>
    </row>
    <row r="763" spans="1:7" x14ac:dyDescent="0.25">
      <c r="A763" s="1">
        <v>44651</v>
      </c>
      <c r="B763" t="str">
        <f>"5306"</f>
        <v>5306</v>
      </c>
      <c r="C763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D763" t="str">
        <f>""</f>
        <v/>
      </c>
      <c r="E763" t="str">
        <f>""</f>
        <v/>
      </c>
      <c r="F763" t="str">
        <f>""</f>
        <v/>
      </c>
      <c r="G763" s="2">
        <v>217005436.06999999</v>
      </c>
    </row>
    <row r="764" spans="1:7" x14ac:dyDescent="0.25">
      <c r="A764" s="1">
        <v>44651</v>
      </c>
      <c r="B764" t="str">
        <f>"5307"</f>
        <v>5307</v>
      </c>
      <c r="C764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D764" t="str">
        <f>""</f>
        <v/>
      </c>
      <c r="E764" t="str">
        <f>""</f>
        <v/>
      </c>
      <c r="F764" t="str">
        <f>""</f>
        <v/>
      </c>
      <c r="G764" s="2">
        <v>3480455414.3299999</v>
      </c>
    </row>
    <row r="765" spans="1:7" x14ac:dyDescent="0.25">
      <c r="A765" s="1">
        <v>44651</v>
      </c>
      <c r="B765" t="str">
        <f>"5308"</f>
        <v>5308</v>
      </c>
      <c r="C765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D765" t="str">
        <f>""</f>
        <v/>
      </c>
      <c r="E765" t="str">
        <f>""</f>
        <v/>
      </c>
      <c r="F765" t="str">
        <f>""</f>
        <v/>
      </c>
      <c r="G765" s="2">
        <v>520593576.72000003</v>
      </c>
    </row>
    <row r="766" spans="1:7" x14ac:dyDescent="0.25">
      <c r="A766" s="1">
        <v>44651</v>
      </c>
      <c r="B766" t="str">
        <f>"5404"</f>
        <v>5404</v>
      </c>
      <c r="C766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D766" t="str">
        <f>""</f>
        <v/>
      </c>
      <c r="E766" t="str">
        <f>""</f>
        <v/>
      </c>
      <c r="F766" t="str">
        <f>""</f>
        <v/>
      </c>
      <c r="G766" s="2">
        <v>2165.87</v>
      </c>
    </row>
    <row r="767" spans="1:7" x14ac:dyDescent="0.25">
      <c r="A767" s="1">
        <v>44651</v>
      </c>
      <c r="B767" t="str">
        <f>"5406"</f>
        <v>5406</v>
      </c>
      <c r="C767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D767" t="str">
        <f>""</f>
        <v/>
      </c>
      <c r="E767" t="str">
        <f>""</f>
        <v/>
      </c>
      <c r="F767" t="str">
        <f>""</f>
        <v/>
      </c>
      <c r="G767" s="2">
        <v>403879143.22000003</v>
      </c>
    </row>
    <row r="768" spans="1:7" x14ac:dyDescent="0.25">
      <c r="A768" s="1">
        <v>44651</v>
      </c>
      <c r="B768" t="str">
        <f>"5451"</f>
        <v>5451</v>
      </c>
      <c r="C768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D768" t="str">
        <f>""</f>
        <v/>
      </c>
      <c r="E768" t="str">
        <f>""</f>
        <v/>
      </c>
      <c r="F768" t="str">
        <f>""</f>
        <v/>
      </c>
      <c r="G768" s="2">
        <v>107885627.01000001</v>
      </c>
    </row>
    <row r="769" spans="1:7" x14ac:dyDescent="0.25">
      <c r="A769" s="1">
        <v>44651</v>
      </c>
      <c r="B769" t="str">
        <f>"5453"</f>
        <v>5453</v>
      </c>
      <c r="C769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D769" t="str">
        <f>""</f>
        <v/>
      </c>
      <c r="E769" t="str">
        <f>""</f>
        <v/>
      </c>
      <c r="F769" t="str">
        <f>""</f>
        <v/>
      </c>
      <c r="G769" s="2">
        <v>87226058.519999996</v>
      </c>
    </row>
    <row r="770" spans="1:7" x14ac:dyDescent="0.25">
      <c r="A770" s="1">
        <v>44651</v>
      </c>
      <c r="B770" t="str">
        <f>"5455"</f>
        <v>5455</v>
      </c>
      <c r="C770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D770" t="str">
        <f>""</f>
        <v/>
      </c>
      <c r="E770" t="str">
        <f>""</f>
        <v/>
      </c>
      <c r="F770" t="str">
        <f>""</f>
        <v/>
      </c>
      <c r="G770" s="2">
        <v>18877071250.580002</v>
      </c>
    </row>
    <row r="771" spans="1:7" x14ac:dyDescent="0.25">
      <c r="A771" s="1">
        <v>44651</v>
      </c>
      <c r="B771" t="str">
        <f>"5456"</f>
        <v>5456</v>
      </c>
      <c r="C77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D771" t="str">
        <f>""</f>
        <v/>
      </c>
      <c r="E771" t="str">
        <f>""</f>
        <v/>
      </c>
      <c r="F771" t="str">
        <f>""</f>
        <v/>
      </c>
      <c r="G771" s="2">
        <v>426601235.89999998</v>
      </c>
    </row>
    <row r="772" spans="1:7" x14ac:dyDescent="0.25">
      <c r="A772" s="1">
        <v>44651</v>
      </c>
      <c r="B772" t="str">
        <f>"5457"</f>
        <v>5457</v>
      </c>
      <c r="C772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D772" t="str">
        <f>""</f>
        <v/>
      </c>
      <c r="E772" t="str">
        <f>""</f>
        <v/>
      </c>
      <c r="F772" t="str">
        <f>""</f>
        <v/>
      </c>
      <c r="G772" s="2">
        <v>63989217.619999997</v>
      </c>
    </row>
    <row r="773" spans="1:7" x14ac:dyDescent="0.25">
      <c r="A773" s="1">
        <v>44651</v>
      </c>
      <c r="B773" t="str">
        <f>"5464"</f>
        <v>5464</v>
      </c>
      <c r="C773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D773" t="str">
        <f>""</f>
        <v/>
      </c>
      <c r="E773" t="str">
        <f>""</f>
        <v/>
      </c>
      <c r="F773" t="str">
        <f>""</f>
        <v/>
      </c>
      <c r="G773" s="2">
        <v>159076975.74000001</v>
      </c>
    </row>
    <row r="774" spans="1:7" x14ac:dyDescent="0.25">
      <c r="A774" s="1">
        <v>44651</v>
      </c>
      <c r="B774" t="str">
        <f>"5465"</f>
        <v>5465</v>
      </c>
      <c r="C774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D774" t="str">
        <f>""</f>
        <v/>
      </c>
      <c r="E774" t="str">
        <f>""</f>
        <v/>
      </c>
      <c r="F774" t="str">
        <f>""</f>
        <v/>
      </c>
      <c r="G774" s="2">
        <v>1172755723.4400001</v>
      </c>
    </row>
    <row r="775" spans="1:7" x14ac:dyDescent="0.25">
      <c r="A775" s="1">
        <v>44651</v>
      </c>
      <c r="B775" t="str">
        <f>"5469"</f>
        <v>5469</v>
      </c>
      <c r="C775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D775" t="str">
        <f>""</f>
        <v/>
      </c>
      <c r="E775" t="str">
        <f>""</f>
        <v/>
      </c>
      <c r="F775" t="str">
        <f>""</f>
        <v/>
      </c>
      <c r="G775" s="2">
        <v>202710.46</v>
      </c>
    </row>
    <row r="776" spans="1:7" x14ac:dyDescent="0.25">
      <c r="A776" s="1">
        <v>44651</v>
      </c>
      <c r="B776" t="str">
        <f>"5530"</f>
        <v>5530</v>
      </c>
      <c r="C776" t="str">
        <f>"Расходы по купле-продаже иностранной валюты"</f>
        <v>Расходы по купле-продаже иностранной валюты</v>
      </c>
      <c r="D776" t="str">
        <f>""</f>
        <v/>
      </c>
      <c r="E776" t="str">
        <f>""</f>
        <v/>
      </c>
      <c r="F776" t="str">
        <f>""</f>
        <v/>
      </c>
      <c r="G776" s="2">
        <v>7697103701.5299997</v>
      </c>
    </row>
    <row r="777" spans="1:7" x14ac:dyDescent="0.25">
      <c r="A777" s="1">
        <v>44651</v>
      </c>
      <c r="B777" t="str">
        <f>"5570"</f>
        <v>5570</v>
      </c>
      <c r="C777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D777" t="str">
        <f>""</f>
        <v/>
      </c>
      <c r="E777" t="str">
        <f>""</f>
        <v/>
      </c>
      <c r="F777" t="str">
        <f>""</f>
        <v/>
      </c>
      <c r="G777" s="2">
        <v>624310379.19000006</v>
      </c>
    </row>
    <row r="778" spans="1:7" x14ac:dyDescent="0.25">
      <c r="A778" s="1">
        <v>44651</v>
      </c>
      <c r="B778" t="str">
        <f>"5601"</f>
        <v>5601</v>
      </c>
      <c r="C778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D778" t="str">
        <f>""</f>
        <v/>
      </c>
      <c r="E778" t="str">
        <f>""</f>
        <v/>
      </c>
      <c r="F778" t="str">
        <f>""</f>
        <v/>
      </c>
      <c r="G778" s="2">
        <v>108828199.05</v>
      </c>
    </row>
    <row r="779" spans="1:7" x14ac:dyDescent="0.25">
      <c r="A779" s="1">
        <v>44651</v>
      </c>
      <c r="B779" t="str">
        <f>"5602"</f>
        <v>5602</v>
      </c>
      <c r="C779" t="str">
        <f>"Комиссионные расходы по полученным агентским услугам"</f>
        <v>Комиссионные расходы по полученным агентским услугам</v>
      </c>
      <c r="D779" t="str">
        <f>""</f>
        <v/>
      </c>
      <c r="E779" t="str">
        <f>""</f>
        <v/>
      </c>
      <c r="F779" t="str">
        <f>""</f>
        <v/>
      </c>
      <c r="G779" s="2">
        <v>81227297.260000005</v>
      </c>
    </row>
    <row r="780" spans="1:7" x14ac:dyDescent="0.25">
      <c r="A780" s="1">
        <v>44651</v>
      </c>
      <c r="B780" t="str">
        <f>"5603"</f>
        <v>5603</v>
      </c>
      <c r="C780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D780" t="str">
        <f>""</f>
        <v/>
      </c>
      <c r="E780" t="str">
        <f>""</f>
        <v/>
      </c>
      <c r="F780" t="str">
        <f>""</f>
        <v/>
      </c>
      <c r="G780" s="2">
        <v>7845188.7400000002</v>
      </c>
    </row>
    <row r="781" spans="1:7" x14ac:dyDescent="0.25">
      <c r="A781" s="1">
        <v>44651</v>
      </c>
      <c r="B781" t="str">
        <f>"5604"</f>
        <v>5604</v>
      </c>
      <c r="C781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D781" t="str">
        <f>""</f>
        <v/>
      </c>
      <c r="E781" t="str">
        <f>""</f>
        <v/>
      </c>
      <c r="F781" t="str">
        <f>""</f>
        <v/>
      </c>
      <c r="G781" s="2">
        <v>156994.5</v>
      </c>
    </row>
    <row r="782" spans="1:7" x14ac:dyDescent="0.25">
      <c r="A782" s="1">
        <v>44651</v>
      </c>
      <c r="B782" t="str">
        <f>"5606"</f>
        <v>5606</v>
      </c>
      <c r="C782" t="str">
        <f>"Комиссионные расходы по полученным услугам по гарантиям"</f>
        <v>Комиссионные расходы по полученным услугам по гарантиям</v>
      </c>
      <c r="D782" t="str">
        <f>""</f>
        <v/>
      </c>
      <c r="E782" t="str">
        <f>""</f>
        <v/>
      </c>
      <c r="F782" t="str">
        <f>""</f>
        <v/>
      </c>
      <c r="G782" s="2">
        <v>18963108.52</v>
      </c>
    </row>
    <row r="783" spans="1:7" x14ac:dyDescent="0.25">
      <c r="A783" s="1">
        <v>44651</v>
      </c>
      <c r="B783" t="str">
        <f>"5607"</f>
        <v>5607</v>
      </c>
      <c r="C783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D783" t="str">
        <f>""</f>
        <v/>
      </c>
      <c r="E783" t="str">
        <f>""</f>
        <v/>
      </c>
      <c r="F783" t="str">
        <f>""</f>
        <v/>
      </c>
      <c r="G783" s="2">
        <v>2171665957.3000002</v>
      </c>
    </row>
    <row r="784" spans="1:7" x14ac:dyDescent="0.25">
      <c r="A784" s="1">
        <v>44651</v>
      </c>
      <c r="B784" t="str">
        <f>"5608"</f>
        <v>5608</v>
      </c>
      <c r="C784" t="str">
        <f>"Прочие комиссионные расходы"</f>
        <v>Прочие комиссионные расходы</v>
      </c>
      <c r="D784" t="str">
        <f>""</f>
        <v/>
      </c>
      <c r="E784" t="str">
        <f>""</f>
        <v/>
      </c>
      <c r="F784" t="str">
        <f>""</f>
        <v/>
      </c>
      <c r="G784" s="2">
        <v>204044367.47999999</v>
      </c>
    </row>
    <row r="785" spans="1:7" x14ac:dyDescent="0.25">
      <c r="A785" s="1">
        <v>44651</v>
      </c>
      <c r="B785" t="str">
        <f>"5609"</f>
        <v>5609</v>
      </c>
      <c r="C785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D785" t="str">
        <f>""</f>
        <v/>
      </c>
      <c r="E785" t="str">
        <f>""</f>
        <v/>
      </c>
      <c r="F785" t="str">
        <f>""</f>
        <v/>
      </c>
      <c r="G785" s="2">
        <v>28684898.120000001</v>
      </c>
    </row>
    <row r="786" spans="1:7" x14ac:dyDescent="0.25">
      <c r="A786" s="1">
        <v>44651</v>
      </c>
      <c r="B786" t="str">
        <f>"5610"</f>
        <v>5610</v>
      </c>
      <c r="C786" t="str">
        <f>"Комиссионные расходы по документарным расчетам"</f>
        <v>Комиссионные расходы по документарным расчетам</v>
      </c>
      <c r="D786" t="str">
        <f>""</f>
        <v/>
      </c>
      <c r="E786" t="str">
        <f>""</f>
        <v/>
      </c>
      <c r="F786" t="str">
        <f>""</f>
        <v/>
      </c>
      <c r="G786" s="2">
        <v>794693.17</v>
      </c>
    </row>
    <row r="787" spans="1:7" x14ac:dyDescent="0.25">
      <c r="A787" s="1">
        <v>44651</v>
      </c>
      <c r="B787" t="str">
        <f>"5703"</f>
        <v>5703</v>
      </c>
      <c r="C787" t="str">
        <f>"Расходы от переоценки иностранной валюты"</f>
        <v>Расходы от переоценки иностранной валюты</v>
      </c>
      <c r="D787" t="str">
        <f>""</f>
        <v/>
      </c>
      <c r="E787" t="str">
        <f>""</f>
        <v/>
      </c>
      <c r="F787" t="str">
        <f>""</f>
        <v/>
      </c>
      <c r="G787" s="2">
        <v>2024546075227.8999</v>
      </c>
    </row>
    <row r="788" spans="1:7" x14ac:dyDescent="0.25">
      <c r="A788" s="1">
        <v>44651</v>
      </c>
      <c r="B788" t="str">
        <f>"5709"</f>
        <v>5709</v>
      </c>
      <c r="C788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D788" t="str">
        <f>""</f>
        <v/>
      </c>
      <c r="E788" t="str">
        <f>""</f>
        <v/>
      </c>
      <c r="F788" t="str">
        <f>""</f>
        <v/>
      </c>
      <c r="G788" s="2">
        <v>8233505.2000000002</v>
      </c>
    </row>
    <row r="789" spans="1:7" x14ac:dyDescent="0.25">
      <c r="A789" s="1">
        <v>44651</v>
      </c>
      <c r="B789" t="str">
        <f>"5721"</f>
        <v>5721</v>
      </c>
      <c r="C789" t="str">
        <f>"Расходы по оплате труда"</f>
        <v>Расходы по оплате труда</v>
      </c>
      <c r="D789" t="str">
        <f>""</f>
        <v/>
      </c>
      <c r="E789" t="str">
        <f>""</f>
        <v/>
      </c>
      <c r="F789" t="str">
        <f>""</f>
        <v/>
      </c>
      <c r="G789" s="2">
        <v>8469670902.5299997</v>
      </c>
    </row>
    <row r="790" spans="1:7" x14ac:dyDescent="0.25">
      <c r="A790" s="1">
        <v>44651</v>
      </c>
      <c r="B790" t="str">
        <f>"5722"</f>
        <v>5722</v>
      </c>
      <c r="C790" t="str">
        <f>"Социальные отчисления"</f>
        <v>Социальные отчисления</v>
      </c>
      <c r="D790" t="str">
        <f>""</f>
        <v/>
      </c>
      <c r="E790" t="str">
        <f>""</f>
        <v/>
      </c>
      <c r="F790" t="str">
        <f>""</f>
        <v/>
      </c>
      <c r="G790" s="2">
        <v>236033680</v>
      </c>
    </row>
    <row r="791" spans="1:7" x14ac:dyDescent="0.25">
      <c r="A791" s="1">
        <v>44651</v>
      </c>
      <c r="B791" t="str">
        <f>"5729"</f>
        <v>5729</v>
      </c>
      <c r="C791" t="str">
        <f>"Прочие выплаты"</f>
        <v>Прочие выплаты</v>
      </c>
      <c r="D791" t="str">
        <f>""</f>
        <v/>
      </c>
      <c r="E791" t="str">
        <f>""</f>
        <v/>
      </c>
      <c r="F791" t="str">
        <f>""</f>
        <v/>
      </c>
      <c r="G791" s="2">
        <v>141014577.16999999</v>
      </c>
    </row>
    <row r="792" spans="1:7" x14ac:dyDescent="0.25">
      <c r="A792" s="1">
        <v>44651</v>
      </c>
      <c r="B792" t="str">
        <f>"5733"</f>
        <v>5733</v>
      </c>
      <c r="C792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D792" t="str">
        <f>""</f>
        <v/>
      </c>
      <c r="E792" t="str">
        <f>""</f>
        <v/>
      </c>
      <c r="F792" t="str">
        <f>""</f>
        <v/>
      </c>
      <c r="G792" s="2">
        <v>1.32</v>
      </c>
    </row>
    <row r="793" spans="1:7" x14ac:dyDescent="0.25">
      <c r="A793" s="1">
        <v>44651</v>
      </c>
      <c r="B793" t="str">
        <f>"5734"</f>
        <v>5734</v>
      </c>
      <c r="C793" t="str">
        <f>"Расходы от прочей переоценки"</f>
        <v>Расходы от прочей переоценки</v>
      </c>
      <c r="D793" t="str">
        <f>""</f>
        <v/>
      </c>
      <c r="E793" t="str">
        <f>""</f>
        <v/>
      </c>
      <c r="F793" t="str">
        <f>""</f>
        <v/>
      </c>
      <c r="G793" s="2">
        <v>14254482280.23</v>
      </c>
    </row>
    <row r="794" spans="1:7" x14ac:dyDescent="0.25">
      <c r="A794" s="1">
        <v>44651</v>
      </c>
      <c r="B794" t="str">
        <f>"5741"</f>
        <v>5741</v>
      </c>
      <c r="C794" t="str">
        <f>"Транспортные расходы"</f>
        <v>Транспортные расходы</v>
      </c>
      <c r="D794" t="str">
        <f>""</f>
        <v/>
      </c>
      <c r="E794" t="str">
        <f>""</f>
        <v/>
      </c>
      <c r="F794" t="str">
        <f>""</f>
        <v/>
      </c>
      <c r="G794" s="2">
        <v>118648275.33</v>
      </c>
    </row>
    <row r="795" spans="1:7" x14ac:dyDescent="0.25">
      <c r="A795" s="1">
        <v>44651</v>
      </c>
      <c r="B795" t="str">
        <f>"5742"</f>
        <v>5742</v>
      </c>
      <c r="C795" t="str">
        <f>"Административные расходы"</f>
        <v>Административные расходы</v>
      </c>
      <c r="D795" t="str">
        <f>""</f>
        <v/>
      </c>
      <c r="E795" t="str">
        <f>""</f>
        <v/>
      </c>
      <c r="F795" t="str">
        <f>""</f>
        <v/>
      </c>
      <c r="G795" s="2">
        <v>1100891732.95</v>
      </c>
    </row>
    <row r="796" spans="1:7" x14ac:dyDescent="0.25">
      <c r="A796" s="1">
        <v>44651</v>
      </c>
      <c r="B796" t="str">
        <f>"5743"</f>
        <v>5743</v>
      </c>
      <c r="C796" t="str">
        <f>"Расходы на инкассацию"</f>
        <v>Расходы на инкассацию</v>
      </c>
      <c r="D796" t="str">
        <f>""</f>
        <v/>
      </c>
      <c r="E796" t="str">
        <f>""</f>
        <v/>
      </c>
      <c r="F796" t="str">
        <f>""</f>
        <v/>
      </c>
      <c r="G796" s="2">
        <v>93937466.170000002</v>
      </c>
    </row>
    <row r="797" spans="1:7" x14ac:dyDescent="0.25">
      <c r="A797" s="1">
        <v>44651</v>
      </c>
      <c r="B797" t="str">
        <f>"5744"</f>
        <v>5744</v>
      </c>
      <c r="C797" t="str">
        <f>"Расходы на ремонт"</f>
        <v>Расходы на ремонт</v>
      </c>
      <c r="D797" t="str">
        <f>""</f>
        <v/>
      </c>
      <c r="E797" t="str">
        <f>""</f>
        <v/>
      </c>
      <c r="F797" t="str">
        <f>""</f>
        <v/>
      </c>
      <c r="G797" s="2">
        <v>44045025.270000003</v>
      </c>
    </row>
    <row r="798" spans="1:7" x14ac:dyDescent="0.25">
      <c r="A798" s="1">
        <v>44651</v>
      </c>
      <c r="B798" t="str">
        <f>"5745"</f>
        <v>5745</v>
      </c>
      <c r="C798" t="str">
        <f>"Расходы на рекламу"</f>
        <v>Расходы на рекламу</v>
      </c>
      <c r="D798" t="str">
        <f>""</f>
        <v/>
      </c>
      <c r="E798" t="str">
        <f>""</f>
        <v/>
      </c>
      <c r="F798" t="str">
        <f>""</f>
        <v/>
      </c>
      <c r="G798" s="2">
        <v>355600449.56</v>
      </c>
    </row>
    <row r="799" spans="1:7" x14ac:dyDescent="0.25">
      <c r="A799" s="1">
        <v>44651</v>
      </c>
      <c r="B799" t="str">
        <f>"5746"</f>
        <v>5746</v>
      </c>
      <c r="C799" t="str">
        <f>"Расходы на охрану и сигнализацию"</f>
        <v>Расходы на охрану и сигнализацию</v>
      </c>
      <c r="D799" t="str">
        <f>""</f>
        <v/>
      </c>
      <c r="E799" t="str">
        <f>""</f>
        <v/>
      </c>
      <c r="F799" t="str">
        <f>""</f>
        <v/>
      </c>
      <c r="G799" s="2">
        <v>221277510.66999999</v>
      </c>
    </row>
    <row r="800" spans="1:7" x14ac:dyDescent="0.25">
      <c r="A800" s="1">
        <v>44651</v>
      </c>
      <c r="B800" t="str">
        <f>"5747"</f>
        <v>5747</v>
      </c>
      <c r="C800" t="str">
        <f>"Представительские расходы"</f>
        <v>Представительские расходы</v>
      </c>
      <c r="D800" t="str">
        <f>""</f>
        <v/>
      </c>
      <c r="E800" t="str">
        <f>""</f>
        <v/>
      </c>
      <c r="F800" t="str">
        <f>""</f>
        <v/>
      </c>
      <c r="G800" s="2">
        <v>1154255</v>
      </c>
    </row>
    <row r="801" spans="1:7" x14ac:dyDescent="0.25">
      <c r="A801" s="1">
        <v>44651</v>
      </c>
      <c r="B801" t="str">
        <f>"5748"</f>
        <v>5748</v>
      </c>
      <c r="C801" t="str">
        <f>"Прочие общехозяйственные расходы"</f>
        <v>Прочие общехозяйственные расходы</v>
      </c>
      <c r="D801" t="str">
        <f>""</f>
        <v/>
      </c>
      <c r="E801" t="str">
        <f>""</f>
        <v/>
      </c>
      <c r="F801" t="str">
        <f>""</f>
        <v/>
      </c>
      <c r="G801" s="2">
        <v>358227283.44999999</v>
      </c>
    </row>
    <row r="802" spans="1:7" x14ac:dyDescent="0.25">
      <c r="A802" s="1">
        <v>44651</v>
      </c>
      <c r="B802" t="str">
        <f>"5749"</f>
        <v>5749</v>
      </c>
      <c r="C802" t="str">
        <f>"Расходы на служебные командировки"</f>
        <v>Расходы на служебные командировки</v>
      </c>
      <c r="D802" t="str">
        <f>""</f>
        <v/>
      </c>
      <c r="E802" t="str">
        <f>""</f>
        <v/>
      </c>
      <c r="F802" t="str">
        <f>""</f>
        <v/>
      </c>
      <c r="G802" s="2">
        <v>9539284.8499999996</v>
      </c>
    </row>
    <row r="803" spans="1:7" x14ac:dyDescent="0.25">
      <c r="A803" s="1">
        <v>44651</v>
      </c>
      <c r="B803" t="str">
        <f>"5750"</f>
        <v>5750</v>
      </c>
      <c r="C803" t="str">
        <f>"Расходы по аудиту и консультационным услугам"</f>
        <v>Расходы по аудиту и консультационным услугам</v>
      </c>
      <c r="D803" t="str">
        <f>""</f>
        <v/>
      </c>
      <c r="E803" t="str">
        <f>""</f>
        <v/>
      </c>
      <c r="F803" t="str">
        <f>""</f>
        <v/>
      </c>
      <c r="G803" s="2">
        <v>64863865.729999997</v>
      </c>
    </row>
    <row r="804" spans="1:7" x14ac:dyDescent="0.25">
      <c r="A804" s="1">
        <v>44651</v>
      </c>
      <c r="B804" t="str">
        <f>"5752"</f>
        <v>5752</v>
      </c>
      <c r="C804" t="str">
        <f>"Расходы по страхованию"</f>
        <v>Расходы по страхованию</v>
      </c>
      <c r="D804" t="str">
        <f>""</f>
        <v/>
      </c>
      <c r="E804" t="str">
        <f>""</f>
        <v/>
      </c>
      <c r="F804" t="str">
        <f>""</f>
        <v/>
      </c>
      <c r="G804" s="2">
        <v>84276046.489999995</v>
      </c>
    </row>
    <row r="805" spans="1:7" x14ac:dyDescent="0.25">
      <c r="A805" s="1">
        <v>44651</v>
      </c>
      <c r="B805" t="str">
        <f>"5753"</f>
        <v>5753</v>
      </c>
      <c r="C805" t="str">
        <f>"Расходы по услугам связи"</f>
        <v>Расходы по услугам связи</v>
      </c>
      <c r="D805" t="str">
        <f>""</f>
        <v/>
      </c>
      <c r="E805" t="str">
        <f>""</f>
        <v/>
      </c>
      <c r="F805" t="str">
        <f>""</f>
        <v/>
      </c>
      <c r="G805" s="2">
        <v>287238628.29000002</v>
      </c>
    </row>
    <row r="806" spans="1:7" x14ac:dyDescent="0.25">
      <c r="A806" s="1">
        <v>44651</v>
      </c>
      <c r="B806" t="str">
        <f>"5754"</f>
        <v>5754</v>
      </c>
      <c r="C806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D806" t="str">
        <f>""</f>
        <v/>
      </c>
      <c r="E806" t="str">
        <f>""</f>
        <v/>
      </c>
      <c r="F806" t="str">
        <f>""</f>
        <v/>
      </c>
      <c r="G806" s="2">
        <v>380856000</v>
      </c>
    </row>
    <row r="807" spans="1:7" x14ac:dyDescent="0.25">
      <c r="A807" s="1">
        <v>44651</v>
      </c>
      <c r="B807" t="str">
        <f>"5761"</f>
        <v>5761</v>
      </c>
      <c r="C807" t="str">
        <f>"Налог на добавленную стоимость"</f>
        <v>Налог на добавленную стоимость</v>
      </c>
      <c r="D807" t="str">
        <f>""</f>
        <v/>
      </c>
      <c r="E807" t="str">
        <f>""</f>
        <v/>
      </c>
      <c r="F807" t="str">
        <f>""</f>
        <v/>
      </c>
      <c r="G807" s="2">
        <v>285015009.83999997</v>
      </c>
    </row>
    <row r="808" spans="1:7" x14ac:dyDescent="0.25">
      <c r="A808" s="1">
        <v>44651</v>
      </c>
      <c r="B808" t="str">
        <f>"5763"</f>
        <v>5763</v>
      </c>
      <c r="C808" t="str">
        <f>"Социальный налог"</f>
        <v>Социальный налог</v>
      </c>
      <c r="D808" t="str">
        <f>""</f>
        <v/>
      </c>
      <c r="E808" t="str">
        <f>""</f>
        <v/>
      </c>
      <c r="F808" t="str">
        <f>""</f>
        <v/>
      </c>
      <c r="G808" s="2">
        <v>629331605.90999997</v>
      </c>
    </row>
    <row r="809" spans="1:7" x14ac:dyDescent="0.25">
      <c r="A809" s="1">
        <v>44651</v>
      </c>
      <c r="B809" t="str">
        <f>"5764"</f>
        <v>5764</v>
      </c>
      <c r="C809" t="str">
        <f>"Земельный налог"</f>
        <v>Земельный налог</v>
      </c>
      <c r="D809" t="str">
        <f>""</f>
        <v/>
      </c>
      <c r="E809" t="str">
        <f>""</f>
        <v/>
      </c>
      <c r="F809" t="str">
        <f>""</f>
        <v/>
      </c>
      <c r="G809" s="2">
        <v>12172842</v>
      </c>
    </row>
    <row r="810" spans="1:7" x14ac:dyDescent="0.25">
      <c r="A810" s="1">
        <v>44651</v>
      </c>
      <c r="B810" t="str">
        <f>"5765"</f>
        <v>5765</v>
      </c>
      <c r="C810" t="str">
        <f>"Налог на имущество юридических лиц"</f>
        <v>Налог на имущество юридических лиц</v>
      </c>
      <c r="D810" t="str">
        <f>""</f>
        <v/>
      </c>
      <c r="E810" t="str">
        <f>""</f>
        <v/>
      </c>
      <c r="F810" t="str">
        <f>""</f>
        <v/>
      </c>
      <c r="G810" s="2">
        <v>272365621</v>
      </c>
    </row>
    <row r="811" spans="1:7" x14ac:dyDescent="0.25">
      <c r="A811" s="1">
        <v>44651</v>
      </c>
      <c r="B811" t="str">
        <f>"5766"</f>
        <v>5766</v>
      </c>
      <c r="C811" t="str">
        <f>"Налог на транспортные средства"</f>
        <v>Налог на транспортные средства</v>
      </c>
      <c r="D811" t="str">
        <f>""</f>
        <v/>
      </c>
      <c r="E811" t="str">
        <f>""</f>
        <v/>
      </c>
      <c r="F811" t="str">
        <f>""</f>
        <v/>
      </c>
      <c r="G811" s="2">
        <v>1885542</v>
      </c>
    </row>
    <row r="812" spans="1:7" x14ac:dyDescent="0.25">
      <c r="A812" s="1">
        <v>44651</v>
      </c>
      <c r="B812" t="str">
        <f>"5768"</f>
        <v>5768</v>
      </c>
      <c r="C812" t="str">
        <f>"Прочие налоги и обязательные платежи в бюджет"</f>
        <v>Прочие налоги и обязательные платежи в бюджет</v>
      </c>
      <c r="D812" t="str">
        <f>""</f>
        <v/>
      </c>
      <c r="E812" t="str">
        <f>""</f>
        <v/>
      </c>
      <c r="F812" t="str">
        <f>""</f>
        <v/>
      </c>
      <c r="G812" s="2">
        <v>10015460.449999999</v>
      </c>
    </row>
    <row r="813" spans="1:7" x14ac:dyDescent="0.25">
      <c r="A813" s="1">
        <v>44651</v>
      </c>
      <c r="B813" t="str">
        <f>"5781"</f>
        <v>5781</v>
      </c>
      <c r="C813" t="str">
        <f>"Расходы по амортизации зданий и сооружений"</f>
        <v>Расходы по амортизации зданий и сооружений</v>
      </c>
      <c r="D813" t="str">
        <f>""</f>
        <v/>
      </c>
      <c r="E813" t="str">
        <f>""</f>
        <v/>
      </c>
      <c r="F813" t="str">
        <f>""</f>
        <v/>
      </c>
      <c r="G813" s="2">
        <v>269018627.12</v>
      </c>
    </row>
    <row r="814" spans="1:7" x14ac:dyDescent="0.25">
      <c r="A814" s="1">
        <v>44651</v>
      </c>
      <c r="B814" t="str">
        <f>"5782"</f>
        <v>5782</v>
      </c>
      <c r="C814" t="str">
        <f>"Расходы по амортизации компьютерного оборудования"</f>
        <v>Расходы по амортизации компьютерного оборудования</v>
      </c>
      <c r="D814" t="str">
        <f>""</f>
        <v/>
      </c>
      <c r="E814" t="str">
        <f>""</f>
        <v/>
      </c>
      <c r="F814" t="str">
        <f>""</f>
        <v/>
      </c>
      <c r="G814" s="2">
        <v>171952245.44</v>
      </c>
    </row>
    <row r="815" spans="1:7" x14ac:dyDescent="0.25">
      <c r="A815" s="1">
        <v>44651</v>
      </c>
      <c r="B815" t="str">
        <f>"5783"</f>
        <v>5783</v>
      </c>
      <c r="C815" t="str">
        <f>"Расходы по амортизации прочих основных средств"</f>
        <v>Расходы по амортизации прочих основных средств</v>
      </c>
      <c r="D815" t="str">
        <f>""</f>
        <v/>
      </c>
      <c r="E815" t="str">
        <f>""</f>
        <v/>
      </c>
      <c r="F815" t="str">
        <f>""</f>
        <v/>
      </c>
      <c r="G815" s="2">
        <v>814525399.67999995</v>
      </c>
    </row>
    <row r="816" spans="1:7" x14ac:dyDescent="0.25">
      <c r="A816" s="1">
        <v>44651</v>
      </c>
      <c r="B816" t="str">
        <f>"5784"</f>
        <v>5784</v>
      </c>
      <c r="C816" t="str">
        <f>"Расходы по амортизации активов в форме права пользования"</f>
        <v>Расходы по амортизации активов в форме права пользования</v>
      </c>
      <c r="D816" t="str">
        <f>""</f>
        <v/>
      </c>
      <c r="E816" t="str">
        <f>""</f>
        <v/>
      </c>
      <c r="F816" t="str">
        <f>""</f>
        <v/>
      </c>
      <c r="G816" s="2">
        <v>136772419.77000001</v>
      </c>
    </row>
    <row r="817" spans="1:7" x14ac:dyDescent="0.25">
      <c r="A817" s="1">
        <v>44651</v>
      </c>
      <c r="B817" t="str">
        <f>"5786"</f>
        <v>5786</v>
      </c>
      <c r="C817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D817" t="str">
        <f>""</f>
        <v/>
      </c>
      <c r="E817" t="str">
        <f>""</f>
        <v/>
      </c>
      <c r="F817" t="str">
        <f>""</f>
        <v/>
      </c>
      <c r="G817" s="2">
        <v>80298956.959999993</v>
      </c>
    </row>
    <row r="818" spans="1:7" x14ac:dyDescent="0.25">
      <c r="A818" s="1">
        <v>44651</v>
      </c>
      <c r="B818" t="str">
        <f>"5787"</f>
        <v>5787</v>
      </c>
      <c r="C818" t="str">
        <f>"Расходы по амортизации транспортных средств"</f>
        <v>Расходы по амортизации транспортных средств</v>
      </c>
      <c r="D818" t="str">
        <f>""</f>
        <v/>
      </c>
      <c r="E818" t="str">
        <f>""</f>
        <v/>
      </c>
      <c r="F818" t="str">
        <f>""</f>
        <v/>
      </c>
      <c r="G818" s="2">
        <v>7060941.4000000004</v>
      </c>
    </row>
    <row r="819" spans="1:7" x14ac:dyDescent="0.25">
      <c r="A819" s="1">
        <v>44651</v>
      </c>
      <c r="B819" t="str">
        <f>"5788"</f>
        <v>5788</v>
      </c>
      <c r="C819" t="str">
        <f>"Расходы по амортизации нематериальных активов"</f>
        <v>Расходы по амортизации нематериальных активов</v>
      </c>
      <c r="D819" t="str">
        <f>""</f>
        <v/>
      </c>
      <c r="E819" t="str">
        <f>""</f>
        <v/>
      </c>
      <c r="F819" t="str">
        <f>""</f>
        <v/>
      </c>
      <c r="G819" s="2">
        <v>568724896.03999996</v>
      </c>
    </row>
    <row r="820" spans="1:7" x14ac:dyDescent="0.25">
      <c r="A820" s="1">
        <v>44651</v>
      </c>
      <c r="B820" t="str">
        <f>"5852"</f>
        <v>5852</v>
      </c>
      <c r="C820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D820" t="str">
        <f>""</f>
        <v/>
      </c>
      <c r="E820" t="str">
        <f>""</f>
        <v/>
      </c>
      <c r="F820" t="str">
        <f>""</f>
        <v/>
      </c>
      <c r="G820" s="2">
        <v>327082</v>
      </c>
    </row>
    <row r="821" spans="1:7" x14ac:dyDescent="0.25">
      <c r="A821" s="1">
        <v>44651</v>
      </c>
      <c r="B821" t="str">
        <f>"5854"</f>
        <v>5854</v>
      </c>
      <c r="C821" t="str">
        <f>"Расходы от реализации запасов"</f>
        <v>Расходы от реализации запасов</v>
      </c>
      <c r="D821" t="str">
        <f>""</f>
        <v/>
      </c>
      <c r="E821" t="str">
        <f>""</f>
        <v/>
      </c>
      <c r="F821" t="str">
        <f>""</f>
        <v/>
      </c>
      <c r="G821" s="2">
        <v>121024211.26000001</v>
      </c>
    </row>
    <row r="822" spans="1:7" x14ac:dyDescent="0.25">
      <c r="A822" s="1">
        <v>44651</v>
      </c>
      <c r="B822" t="str">
        <f>"5892"</f>
        <v>5892</v>
      </c>
      <c r="C822" t="str">
        <f>"Расходы по операциям форвард"</f>
        <v>Расходы по операциям форвард</v>
      </c>
      <c r="D822" t="str">
        <f>""</f>
        <v/>
      </c>
      <c r="E822" t="str">
        <f>""</f>
        <v/>
      </c>
      <c r="F822" t="str">
        <f>""</f>
        <v/>
      </c>
      <c r="G822" s="2">
        <v>3021327.73</v>
      </c>
    </row>
    <row r="823" spans="1:7" x14ac:dyDescent="0.25">
      <c r="A823" s="1">
        <v>44651</v>
      </c>
      <c r="B823" t="str">
        <f>"5895"</f>
        <v>5895</v>
      </c>
      <c r="C823" t="str">
        <f>"Расходы по операциям своп"</f>
        <v>Расходы по операциям своп</v>
      </c>
      <c r="D823" t="str">
        <f>""</f>
        <v/>
      </c>
      <c r="E823" t="str">
        <f>""</f>
        <v/>
      </c>
      <c r="F823" t="str">
        <f>""</f>
        <v/>
      </c>
      <c r="G823" s="2">
        <v>5442698389.0299997</v>
      </c>
    </row>
    <row r="824" spans="1:7" x14ac:dyDescent="0.25">
      <c r="A824" s="1">
        <v>44651</v>
      </c>
      <c r="B824" t="str">
        <f>"5900"</f>
        <v>5900</v>
      </c>
      <c r="C824" t="str">
        <f>"Неустойка (штраф, пеня)"</f>
        <v>Неустойка (штраф, пеня)</v>
      </c>
      <c r="D824" t="str">
        <f>""</f>
        <v/>
      </c>
      <c r="E824" t="str">
        <f>""</f>
        <v/>
      </c>
      <c r="F824" t="str">
        <f>""</f>
        <v/>
      </c>
      <c r="G824" s="2">
        <v>3877738.84</v>
      </c>
    </row>
    <row r="825" spans="1:7" x14ac:dyDescent="0.25">
      <c r="A825" s="1">
        <v>44651</v>
      </c>
      <c r="B825" t="str">
        <f>"5921"</f>
        <v>5921</v>
      </c>
      <c r="C825" t="str">
        <f>"Прочие расходы от банковской деятельности"</f>
        <v>Прочие расходы от банковской деятельности</v>
      </c>
      <c r="D825" t="str">
        <f>""</f>
        <v/>
      </c>
      <c r="E825" t="str">
        <f>""</f>
        <v/>
      </c>
      <c r="F825" t="str">
        <f>""</f>
        <v/>
      </c>
      <c r="G825" s="2">
        <v>999536774.98000002</v>
      </c>
    </row>
    <row r="826" spans="1:7" x14ac:dyDescent="0.25">
      <c r="A826" s="1">
        <v>44651</v>
      </c>
      <c r="B826" t="str">
        <f>"5922"</f>
        <v>5922</v>
      </c>
      <c r="C826" t="str">
        <f>"Прочие расходы от неосновной деятельности"</f>
        <v>Прочие расходы от неосновной деятельности</v>
      </c>
      <c r="D826" t="str">
        <f>""</f>
        <v/>
      </c>
      <c r="E826" t="str">
        <f>""</f>
        <v/>
      </c>
      <c r="F826" t="str">
        <f>""</f>
        <v/>
      </c>
      <c r="G826" s="2">
        <v>558620044.60000002</v>
      </c>
    </row>
    <row r="827" spans="1:7" x14ac:dyDescent="0.25">
      <c r="A827" s="1">
        <v>44651</v>
      </c>
      <c r="B827" t="str">
        <f>"5923"</f>
        <v>5923</v>
      </c>
      <c r="C827" t="str">
        <f>"Расходы по аренде"</f>
        <v>Расходы по аренде</v>
      </c>
      <c r="D827" t="str">
        <f>""</f>
        <v/>
      </c>
      <c r="E827" t="str">
        <f>""</f>
        <v/>
      </c>
      <c r="F827" t="str">
        <f>""</f>
        <v/>
      </c>
      <c r="G827" s="2">
        <v>72001060.819999993</v>
      </c>
    </row>
    <row r="828" spans="1:7" x14ac:dyDescent="0.25">
      <c r="A828" s="1">
        <v>44651</v>
      </c>
      <c r="B828" t="str">
        <f>"5999"</f>
        <v>5999</v>
      </c>
      <c r="C828" t="str">
        <f>"Корпоративный подоходный налог"</f>
        <v>Корпоративный подоходный налог</v>
      </c>
      <c r="D828" t="str">
        <f>""</f>
        <v/>
      </c>
      <c r="E828" t="str">
        <f>""</f>
        <v/>
      </c>
      <c r="F828" t="str">
        <f>""</f>
        <v/>
      </c>
      <c r="G828" s="2">
        <v>1800000000</v>
      </c>
    </row>
    <row r="829" spans="1:7" x14ac:dyDescent="0.25">
      <c r="A829" s="1">
        <v>44651</v>
      </c>
      <c r="B829" t="str">
        <f>"6005"</f>
        <v>6005</v>
      </c>
      <c r="C829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D829" t="str">
        <f>""</f>
        <v/>
      </c>
      <c r="E829" t="str">
        <f>""</f>
        <v/>
      </c>
      <c r="F829" t="str">
        <f>""</f>
        <v/>
      </c>
      <c r="G829" s="2">
        <v>466104358.48000002</v>
      </c>
    </row>
    <row r="830" spans="1:7" x14ac:dyDescent="0.25">
      <c r="A830" s="1">
        <v>44651</v>
      </c>
      <c r="B830" t="str">
        <f>"6020"</f>
        <v>6020</v>
      </c>
      <c r="C830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D830" t="str">
        <f>""</f>
        <v/>
      </c>
      <c r="E830" t="str">
        <f>""</f>
        <v/>
      </c>
      <c r="F830" t="str">
        <f>""</f>
        <v/>
      </c>
      <c r="G830" s="2">
        <v>1535931907.9100001</v>
      </c>
    </row>
    <row r="831" spans="1:7" x14ac:dyDescent="0.25">
      <c r="A831" s="1">
        <v>44651</v>
      </c>
      <c r="B831" t="str">
        <f>"6025"</f>
        <v>6025</v>
      </c>
      <c r="C831" t="str">
        <f>"Возможные требования по подтвержденным покрытым аккредитивам"</f>
        <v>Возможные требования по подтвержденным покрытым аккредитивам</v>
      </c>
      <c r="D831" t="str">
        <f>""</f>
        <v/>
      </c>
      <c r="E831" t="str">
        <f>""</f>
        <v/>
      </c>
      <c r="F831" t="str">
        <f>""</f>
        <v/>
      </c>
      <c r="G831" s="2">
        <v>418994022</v>
      </c>
    </row>
    <row r="832" spans="1:7" x14ac:dyDescent="0.25">
      <c r="A832" s="1">
        <v>44651</v>
      </c>
      <c r="B832" t="str">
        <f>"6055"</f>
        <v>6055</v>
      </c>
      <c r="C832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D832" t="str">
        <f>""</f>
        <v/>
      </c>
      <c r="E832" t="str">
        <f>""</f>
        <v/>
      </c>
      <c r="F832" t="str">
        <f>""</f>
        <v/>
      </c>
      <c r="G832" s="2">
        <v>65606252078.139999</v>
      </c>
    </row>
    <row r="833" spans="1:7" x14ac:dyDescent="0.25">
      <c r="A833" s="1">
        <v>44651</v>
      </c>
      <c r="B833" t="str">
        <f>"6075"</f>
        <v>6075</v>
      </c>
      <c r="C833" t="str">
        <f>"Возможные требования по принятым гарантиям"</f>
        <v>Возможные требования по принятым гарантиям</v>
      </c>
      <c r="D833" t="str">
        <f>""</f>
        <v/>
      </c>
      <c r="E833" t="str">
        <f>""</f>
        <v/>
      </c>
      <c r="F833" t="str">
        <f>""</f>
        <v/>
      </c>
      <c r="G833" s="2">
        <v>2371887877937.3901</v>
      </c>
    </row>
    <row r="834" spans="1:7" x14ac:dyDescent="0.25">
      <c r="A834" s="1">
        <v>44651</v>
      </c>
      <c r="B834" t="str">
        <f>"6126"</f>
        <v>6126</v>
      </c>
      <c r="C834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D834" t="str">
        <f>""</f>
        <v/>
      </c>
      <c r="E834" t="str">
        <f>""</f>
        <v/>
      </c>
      <c r="F834" t="str">
        <f>""</f>
        <v/>
      </c>
      <c r="G834" s="2">
        <v>128382951061.42</v>
      </c>
    </row>
    <row r="835" spans="1:7" x14ac:dyDescent="0.25">
      <c r="A835" s="1">
        <v>44651</v>
      </c>
      <c r="B835" t="str">
        <f>"6155"</f>
        <v>6155</v>
      </c>
      <c r="C835" t="str">
        <f>"Условные требования по получению вкладов в будущем"</f>
        <v>Условные требования по получению вкладов в будущем</v>
      </c>
      <c r="D835" t="str">
        <f>""</f>
        <v/>
      </c>
      <c r="E835" t="str">
        <f>""</f>
        <v/>
      </c>
      <c r="F835" t="str">
        <f>""</f>
        <v/>
      </c>
      <c r="G835" s="2">
        <v>19409687743.93</v>
      </c>
    </row>
    <row r="836" spans="1:7" x14ac:dyDescent="0.25">
      <c r="A836" s="1">
        <v>44651</v>
      </c>
      <c r="B836" t="str">
        <f>"6177"</f>
        <v>6177</v>
      </c>
      <c r="C836" t="str">
        <f>"Условные требования по предоставленным займам"</f>
        <v>Условные требования по предоставленным займам</v>
      </c>
      <c r="D836" t="str">
        <f>""</f>
        <v/>
      </c>
      <c r="E836" t="str">
        <f>""</f>
        <v/>
      </c>
      <c r="F836" t="str">
        <f>""</f>
        <v/>
      </c>
      <c r="G836" s="2">
        <v>59272989.920000002</v>
      </c>
    </row>
    <row r="837" spans="1:7" x14ac:dyDescent="0.25">
      <c r="A837" s="1">
        <v>44651</v>
      </c>
      <c r="B837" t="str">
        <f>"6405"</f>
        <v>6405</v>
      </c>
      <c r="C837" t="str">
        <f>"Условные требования по купле-продаже иностранной валюты"</f>
        <v>Условные требования по купле-продаже иностранной валюты</v>
      </c>
      <c r="D837" t="str">
        <f>""</f>
        <v/>
      </c>
      <c r="E837" t="str">
        <f>""</f>
        <v/>
      </c>
      <c r="F837" t="str">
        <f>""</f>
        <v/>
      </c>
      <c r="G837" s="2">
        <v>2331550000</v>
      </c>
    </row>
    <row r="838" spans="1:7" x14ac:dyDescent="0.25">
      <c r="A838" s="1">
        <v>44651</v>
      </c>
      <c r="B838" t="str">
        <f>"6505"</f>
        <v>6505</v>
      </c>
      <c r="C838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D838" t="str">
        <f>""</f>
        <v/>
      </c>
      <c r="E838" t="str">
        <f>""</f>
        <v/>
      </c>
      <c r="F838" t="str">
        <f>""</f>
        <v/>
      </c>
      <c r="G838" s="2">
        <v>466104358.48000002</v>
      </c>
    </row>
    <row r="839" spans="1:7" x14ac:dyDescent="0.25">
      <c r="A839" s="1">
        <v>44651</v>
      </c>
      <c r="B839" t="str">
        <f>"6520"</f>
        <v>6520</v>
      </c>
      <c r="C839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D839" t="str">
        <f>""</f>
        <v/>
      </c>
      <c r="E839" t="str">
        <f>""</f>
        <v/>
      </c>
      <c r="F839" t="str">
        <f>""</f>
        <v/>
      </c>
      <c r="G839" s="2">
        <v>1535931907.9100001</v>
      </c>
    </row>
    <row r="840" spans="1:7" x14ac:dyDescent="0.25">
      <c r="A840" s="1">
        <v>44651</v>
      </c>
      <c r="B840" t="str">
        <f>"6525"</f>
        <v>6525</v>
      </c>
      <c r="C840" t="str">
        <f>"Возможные обязательства по подтвержденным покрытым аккредитивам"</f>
        <v>Возможные обязательства по подтвержденным покрытым аккредитивам</v>
      </c>
      <c r="D840" t="str">
        <f>""</f>
        <v/>
      </c>
      <c r="E840" t="str">
        <f>""</f>
        <v/>
      </c>
      <c r="F840" t="str">
        <f>""</f>
        <v/>
      </c>
      <c r="G840" s="2">
        <v>418994022</v>
      </c>
    </row>
    <row r="841" spans="1:7" x14ac:dyDescent="0.25">
      <c r="A841" s="1">
        <v>44651</v>
      </c>
      <c r="B841" t="str">
        <f>"6555"</f>
        <v>6555</v>
      </c>
      <c r="C84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D841" t="str">
        <f>""</f>
        <v/>
      </c>
      <c r="E841" t="str">
        <f>""</f>
        <v/>
      </c>
      <c r="F841" t="str">
        <f>""</f>
        <v/>
      </c>
      <c r="G841" s="2">
        <v>65606252078.139999</v>
      </c>
    </row>
    <row r="842" spans="1:7" x14ac:dyDescent="0.25">
      <c r="A842" s="1">
        <v>44651</v>
      </c>
      <c r="B842" t="str">
        <f>"6575"</f>
        <v>6575</v>
      </c>
      <c r="C842" t="str">
        <f>"Возможное уменьшение требований по принятым гарантиям"</f>
        <v>Возможное уменьшение требований по принятым гарантиям</v>
      </c>
      <c r="D842" t="str">
        <f>""</f>
        <v/>
      </c>
      <c r="E842" t="str">
        <f>""</f>
        <v/>
      </c>
      <c r="F842" t="str">
        <f>""</f>
        <v/>
      </c>
      <c r="G842" s="2">
        <v>2371887877937.3901</v>
      </c>
    </row>
    <row r="843" spans="1:7" x14ac:dyDescent="0.25">
      <c r="A843" s="1">
        <v>44651</v>
      </c>
      <c r="B843" t="str">
        <f>"6626"</f>
        <v>6626</v>
      </c>
      <c r="C843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D843" t="str">
        <f>""</f>
        <v/>
      </c>
      <c r="E843" t="str">
        <f>""</f>
        <v/>
      </c>
      <c r="F843" t="str">
        <f>""</f>
        <v/>
      </c>
      <c r="G843" s="2">
        <v>128382951061.42</v>
      </c>
    </row>
    <row r="844" spans="1:7" x14ac:dyDescent="0.25">
      <c r="A844" s="1">
        <v>44651</v>
      </c>
      <c r="B844" t="str">
        <f>"6655"</f>
        <v>6655</v>
      </c>
      <c r="C844" t="str">
        <f>"Будущие обязательства по получаемым вкладам"</f>
        <v>Будущие обязательства по получаемым вкладам</v>
      </c>
      <c r="D844" t="str">
        <f>""</f>
        <v/>
      </c>
      <c r="E844" t="str">
        <f>""</f>
        <v/>
      </c>
      <c r="F844" t="str">
        <f>""</f>
        <v/>
      </c>
      <c r="G844" s="2">
        <v>19409687743.93</v>
      </c>
    </row>
    <row r="845" spans="1:7" x14ac:dyDescent="0.25">
      <c r="A845" s="1">
        <v>44651</v>
      </c>
      <c r="B845" t="str">
        <f>"6677"</f>
        <v>6677</v>
      </c>
      <c r="C845" t="str">
        <f>"Условные обязательства по предоставленным займам"</f>
        <v>Условные обязательства по предоставленным займам</v>
      </c>
      <c r="D845" t="str">
        <f>""</f>
        <v/>
      </c>
      <c r="E845" t="str">
        <f>""</f>
        <v/>
      </c>
      <c r="F845" t="str">
        <f>""</f>
        <v/>
      </c>
      <c r="G845" s="2">
        <v>59272989.920000002</v>
      </c>
    </row>
    <row r="846" spans="1:7" x14ac:dyDescent="0.25">
      <c r="A846" s="1">
        <v>44651</v>
      </c>
      <c r="B846" t="str">
        <f>"6905"</f>
        <v>6905</v>
      </c>
      <c r="C846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D846" t="str">
        <f>""</f>
        <v/>
      </c>
      <c r="E846" t="str">
        <f>""</f>
        <v/>
      </c>
      <c r="F846" t="str">
        <f>""</f>
        <v/>
      </c>
      <c r="G846" s="2">
        <v>2321000000</v>
      </c>
    </row>
    <row r="847" spans="1:7" x14ac:dyDescent="0.25">
      <c r="A847" s="1">
        <v>44651</v>
      </c>
      <c r="B847" t="str">
        <f>"6999"</f>
        <v>6999</v>
      </c>
      <c r="C847" t="str">
        <f>"Позиция по сделкам с иностранной валютой"</f>
        <v>Позиция по сделкам с иностранной валютой</v>
      </c>
      <c r="D847" t="str">
        <f>""</f>
        <v/>
      </c>
      <c r="E847" t="str">
        <f>""</f>
        <v/>
      </c>
      <c r="F847" t="str">
        <f>""</f>
        <v/>
      </c>
      <c r="G847" s="2">
        <v>10550000</v>
      </c>
    </row>
    <row r="848" spans="1:7" x14ac:dyDescent="0.25">
      <c r="A848" s="1">
        <v>44651</v>
      </c>
      <c r="B848" t="str">
        <f>"7110"</f>
        <v>7110</v>
      </c>
      <c r="C848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D848" t="str">
        <f>""</f>
        <v/>
      </c>
      <c r="E848" t="str">
        <f>""</f>
        <v/>
      </c>
      <c r="F848" t="str">
        <f>""</f>
        <v/>
      </c>
      <c r="G848" s="2">
        <v>562</v>
      </c>
    </row>
    <row r="849" spans="1:7" x14ac:dyDescent="0.25">
      <c r="A849" s="1">
        <v>44651</v>
      </c>
      <c r="B849" t="str">
        <f>"7150"</f>
        <v>7150</v>
      </c>
      <c r="C849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D849" t="str">
        <f>""</f>
        <v/>
      </c>
      <c r="E849" t="str">
        <f>""</f>
        <v/>
      </c>
      <c r="F849" t="str">
        <f>""</f>
        <v/>
      </c>
      <c r="G849" s="2">
        <v>252</v>
      </c>
    </row>
    <row r="850" spans="1:7" x14ac:dyDescent="0.25">
      <c r="A850" s="1">
        <v>44651</v>
      </c>
      <c r="B850" t="str">
        <f>"7220"</f>
        <v>7220</v>
      </c>
      <c r="C850" t="str">
        <f>"Арендованные активы"</f>
        <v>Арендованные активы</v>
      </c>
      <c r="D850" t="str">
        <f>""</f>
        <v/>
      </c>
      <c r="E850" t="str">
        <f>""</f>
        <v/>
      </c>
      <c r="F850" t="str">
        <f>""</f>
        <v/>
      </c>
      <c r="G850" s="2">
        <v>303992473.26999998</v>
      </c>
    </row>
    <row r="851" spans="1:7" x14ac:dyDescent="0.25">
      <c r="A851" s="1">
        <v>44651</v>
      </c>
      <c r="B851" t="str">
        <f>"7240"</f>
        <v>7240</v>
      </c>
      <c r="C851" t="str">
        <f>"Документы и ценности, принятые на инкассо"</f>
        <v>Документы и ценности, принятые на инкассо</v>
      </c>
      <c r="D851" t="str">
        <f>""</f>
        <v/>
      </c>
      <c r="E851" t="str">
        <f>""</f>
        <v/>
      </c>
      <c r="F851" t="str">
        <f>""</f>
        <v/>
      </c>
      <c r="G851" s="2">
        <v>920</v>
      </c>
    </row>
    <row r="852" spans="1:7" x14ac:dyDescent="0.25">
      <c r="A852" s="1">
        <v>44651</v>
      </c>
      <c r="B852" t="str">
        <f>"7250"</f>
        <v>7250</v>
      </c>
      <c r="C852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D852" t="str">
        <f>""</f>
        <v/>
      </c>
      <c r="E852" t="str">
        <f>""</f>
        <v/>
      </c>
      <c r="F852" t="str">
        <f>""</f>
        <v/>
      </c>
      <c r="G852" s="2">
        <v>1705555342925.6899</v>
      </c>
    </row>
    <row r="853" spans="1:7" x14ac:dyDescent="0.25">
      <c r="A853" s="1">
        <v>44651</v>
      </c>
      <c r="B853" t="str">
        <f>"7303"</f>
        <v>7303</v>
      </c>
      <c r="C853" t="str">
        <f>"Платежные документы, не оплаченные в срок"</f>
        <v>Платежные документы, не оплаченные в срок</v>
      </c>
      <c r="D853" t="str">
        <f>""</f>
        <v/>
      </c>
      <c r="E853" t="str">
        <f>""</f>
        <v/>
      </c>
      <c r="F853" t="str">
        <f>""</f>
        <v/>
      </c>
      <c r="G853" s="2">
        <v>1575094657507.0601</v>
      </c>
    </row>
    <row r="854" spans="1:7" x14ac:dyDescent="0.25">
      <c r="A854" s="1">
        <v>44651</v>
      </c>
      <c r="B854" t="str">
        <f>"7339"</f>
        <v>7339</v>
      </c>
      <c r="C854" t="str">
        <f>"Разные ценности и документы"</f>
        <v>Разные ценности и документы</v>
      </c>
      <c r="D854" t="str">
        <f>""</f>
        <v/>
      </c>
      <c r="E854" t="str">
        <f>""</f>
        <v/>
      </c>
      <c r="F854" t="str">
        <f>""</f>
        <v/>
      </c>
      <c r="G854" s="2">
        <v>146900417740.5</v>
      </c>
    </row>
    <row r="855" spans="1:7" x14ac:dyDescent="0.25">
      <c r="A855" s="1">
        <v>44651</v>
      </c>
      <c r="B855" t="str">
        <f>"7342"</f>
        <v>7342</v>
      </c>
      <c r="C855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D855" t="str">
        <f>""</f>
        <v/>
      </c>
      <c r="E855" t="str">
        <f>""</f>
        <v/>
      </c>
      <c r="F855" t="str">
        <f>""</f>
        <v/>
      </c>
      <c r="G855" s="2">
        <v>439965.74</v>
      </c>
    </row>
    <row r="856" spans="1:7" x14ac:dyDescent="0.25">
      <c r="A856" s="1">
        <v>44651</v>
      </c>
      <c r="B856" t="str">
        <f>"7535"</f>
        <v>7535</v>
      </c>
      <c r="C856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D856" t="str">
        <f>""</f>
        <v/>
      </c>
      <c r="E856" t="str">
        <f>""</f>
        <v/>
      </c>
      <c r="F856" t="str">
        <f>""</f>
        <v/>
      </c>
      <c r="G856" s="2">
        <v>58956214.780000001</v>
      </c>
    </row>
    <row r="857" spans="1:7" x14ac:dyDescent="0.25">
      <c r="A857" s="1">
        <v>44651</v>
      </c>
      <c r="B857" t="str">
        <f>"7536"</f>
        <v>7536</v>
      </c>
      <c r="C857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D857" t="str">
        <f>""</f>
        <v/>
      </c>
      <c r="E857" t="str">
        <f>""</f>
        <v/>
      </c>
      <c r="F857" t="str">
        <f>""</f>
        <v/>
      </c>
      <c r="G857" s="2">
        <v>180376.77</v>
      </c>
    </row>
    <row r="858" spans="1:7" x14ac:dyDescent="0.25">
      <c r="A858" s="1">
        <v>44651</v>
      </c>
      <c r="B858" t="str">
        <f>"7542"</f>
        <v>7542</v>
      </c>
      <c r="C858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D858" t="str">
        <f>""</f>
        <v/>
      </c>
      <c r="E858" t="str">
        <f>""</f>
        <v/>
      </c>
      <c r="F858" t="str">
        <f>""</f>
        <v/>
      </c>
      <c r="G858" s="2">
        <v>13647.77</v>
      </c>
    </row>
    <row r="859" spans="1:7" x14ac:dyDescent="0.25">
      <c r="A859" s="1">
        <v>44651</v>
      </c>
      <c r="B859" t="str">
        <f>"7543"</f>
        <v>7543</v>
      </c>
      <c r="C859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D859" t="str">
        <f>""</f>
        <v/>
      </c>
      <c r="E859" t="str">
        <f>""</f>
        <v/>
      </c>
      <c r="F859" t="str">
        <f>""</f>
        <v/>
      </c>
      <c r="G859" s="2">
        <v>0</v>
      </c>
    </row>
    <row r="860" spans="1:7" x14ac:dyDescent="0.25">
      <c r="A860" s="1">
        <v>44651</v>
      </c>
      <c r="B860" t="str">
        <f>"7544"</f>
        <v>7544</v>
      </c>
      <c r="C860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D860" t="str">
        <f>""</f>
        <v/>
      </c>
      <c r="E860" t="str">
        <f>""</f>
        <v/>
      </c>
      <c r="F860" t="str">
        <f>""</f>
        <v/>
      </c>
      <c r="G860" s="2">
        <v>122750.6</v>
      </c>
    </row>
    <row r="861" spans="1:7" x14ac:dyDescent="0.25">
      <c r="A861" s="1">
        <v>44651</v>
      </c>
      <c r="B861" t="str">
        <f>"7611"</f>
        <v>7611</v>
      </c>
      <c r="C861" t="str">
        <f>"Прочие требования"</f>
        <v>Прочие требования</v>
      </c>
      <c r="D861" t="str">
        <f>""</f>
        <v/>
      </c>
      <c r="E861" t="str">
        <f>""</f>
        <v/>
      </c>
      <c r="F861" t="str">
        <f>""</f>
        <v/>
      </c>
      <c r="G861" s="2">
        <v>62270960773.059998</v>
      </c>
    </row>
    <row r="862" spans="1:7" x14ac:dyDescent="0.25">
      <c r="A862" s="1">
        <v>44651</v>
      </c>
      <c r="B862" t="str">
        <f>"7811"</f>
        <v>7811</v>
      </c>
      <c r="C862" t="str">
        <f>"Требования по активам, переданным в лизинг (аренду)"</f>
        <v>Требования по активам, переданным в лизинг (аренду)</v>
      </c>
      <c r="D862" t="str">
        <f>""</f>
        <v/>
      </c>
      <c r="E862" t="str">
        <f>""</f>
        <v/>
      </c>
      <c r="F862" t="str">
        <f>""</f>
        <v/>
      </c>
      <c r="G862" s="2">
        <v>895255861.46000004</v>
      </c>
    </row>
  </sheetData>
  <sortState ref="A2:J858">
    <sortCondition ref="B2:B858"/>
    <sortCondition ref="D2:D858"/>
    <sortCondition ref="E2:E858"/>
    <sortCondition ref="F2:F8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Azatova, Aygul (Fortebank)</dc:creator>
  <cp:lastModifiedBy>Mombekbayeva, Indira (Fortebank)</cp:lastModifiedBy>
  <dcterms:created xsi:type="dcterms:W3CDTF">2022-02-17T06:00:11Z</dcterms:created>
  <dcterms:modified xsi:type="dcterms:W3CDTF">2022-04-15T03:20:47Z</dcterms:modified>
</cp:coreProperties>
</file>