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511" firstSheet="1" activeTab="5"/>
  </bookViews>
  <sheets>
    <sheet name="Баланс" sheetId="1" state="hidden" r:id="rId1"/>
    <sheet name="отчет о фин положении" sheetId="2" r:id="rId2"/>
    <sheet name="ОПиУ" sheetId="3" r:id="rId3"/>
    <sheet name="ДДС" sheetId="4" r:id="rId4"/>
    <sheet name="Лист2" sheetId="5" state="hidden" r:id="rId5"/>
    <sheet name="капитал" sheetId="6" r:id="rId6"/>
    <sheet name="Лист5" sheetId="7" state="hidden" r:id="rId7"/>
    <sheet name="Лист4" sheetId="8" state="hidden" r:id="rId8"/>
    <sheet name="Лист8" sheetId="9" state="hidden" r:id="rId9"/>
    <sheet name="Лист1" sheetId="10" state="hidden" r:id="rId10"/>
    <sheet name="пояснительная" sheetId="11" state="hidden" r:id="rId11"/>
    <sheet name="Лист3" sheetId="12" state="hidden" r:id="rId12"/>
    <sheet name="Лист7" sheetId="13" state="hidden" r:id="rId13"/>
    <sheet name="Лист6" sheetId="14" state="hidden" r:id="rId14"/>
  </sheets>
  <definedNames>
    <definedName name="_xlnm._FilterDatabase" localSheetId="13" hidden="1">'Лист6'!$A$3:$D$39</definedName>
    <definedName name="_xlnm.Print_Area" localSheetId="0">'Баланс'!$A$1:$W$82</definedName>
    <definedName name="_xlnm.Print_Area" localSheetId="3">'ДДС'!$A$1:$N$76</definedName>
    <definedName name="_xlnm.Print_Area" localSheetId="5">'капитал'!$A$1:$I$88</definedName>
    <definedName name="_xlnm.Print_Area" localSheetId="7">'Лист4'!$A$1:$H$88</definedName>
    <definedName name="_xlnm.Print_Area" localSheetId="6">'Лист5'!$A$1:$H$100</definedName>
    <definedName name="_xlnm.Print_Area" localSheetId="2">'ОПиУ'!$A$1:$N$48</definedName>
    <definedName name="_xlnm.Print_Area" localSheetId="1">'отчет о фин положении'!$A$1:$U$82</definedName>
    <definedName name="_xlnm.Print_Area" localSheetId="10">'пояснительная'!$A$1:$F$382</definedName>
  </definedNames>
  <calcPr fullCalcOnLoad="1" refMode="R1C1"/>
</workbook>
</file>

<file path=xl/sharedStrings.xml><?xml version="1.0" encoding="utf-8"?>
<sst xmlns="http://schemas.openxmlformats.org/spreadsheetml/2006/main" count="1876" uniqueCount="892">
  <si>
    <t>ТОО "Беккер и К"</t>
  </si>
  <si>
    <t>в тыс. тенге</t>
  </si>
  <si>
    <t>наименование показателей</t>
  </si>
  <si>
    <t>код</t>
  </si>
  <si>
    <t>Коррек. БК 2012 г.</t>
  </si>
  <si>
    <t>Коррек. НД 2012 г.</t>
  </si>
  <si>
    <t xml:space="preserve">Коррек. БИ 2012г. </t>
  </si>
  <si>
    <t>АКТИВЫ</t>
  </si>
  <si>
    <t>I. Краткосрочные активы</t>
  </si>
  <si>
    <t>Денежные средства и их эквиваленты</t>
  </si>
  <si>
    <t>Финансовые активы, имеющиеся в наличии для продажи</t>
  </si>
  <si>
    <t>Производные финансовые инструменты</t>
  </si>
  <si>
    <t>Финансовые активы, учитываемые по справедливой стоимости через прибыли и убытки</t>
  </si>
  <si>
    <t>Финансовые активы, удерживаемые до погашения</t>
  </si>
  <si>
    <t>Прочие краткосрочные финансовые активы</t>
  </si>
  <si>
    <t>Краткосрочная торговая и прочая дебиторская задолженность</t>
  </si>
  <si>
    <t>Текущий подоходный налог</t>
  </si>
  <si>
    <t>Запасы</t>
  </si>
  <si>
    <t>Прочие краткосрочные активы</t>
  </si>
  <si>
    <t>Итого краткосрочных активов</t>
  </si>
  <si>
    <t>Активы (или выбывающие группы), предназначенные для продажи</t>
  </si>
  <si>
    <t>II. Долгосрочные активы</t>
  </si>
  <si>
    <t>Прочие долгосрочные финансовые активы</t>
  </si>
  <si>
    <t>Долгосрочная торговая и прочая дебиторская задолженность</t>
  </si>
  <si>
    <t>Инвестиции, учитываемые методом долевого участия</t>
  </si>
  <si>
    <t>Инвестиционное имущество</t>
  </si>
  <si>
    <t>Основные средства</t>
  </si>
  <si>
    <t>Биологические активы</t>
  </si>
  <si>
    <t>Разведочные и оценочные активы</t>
  </si>
  <si>
    <t>Нематериальные активы</t>
  </si>
  <si>
    <t>Прочие долгосрочные активы</t>
  </si>
  <si>
    <t>Итого долгосрочных активов</t>
  </si>
  <si>
    <t>БАЛАНС</t>
  </si>
  <si>
    <t>ОБЯЗАТЕЛЬСТВО И КАПИТАЛ</t>
  </si>
  <si>
    <t>III. Краткосрочные обязательства</t>
  </si>
  <si>
    <t>Займы</t>
  </si>
  <si>
    <t>Прочие краткосрочные финансовые обязательства</t>
  </si>
  <si>
    <t xml:space="preserve"> </t>
  </si>
  <si>
    <t>Краткосрочная торговая и прочая кредиторская задолженность</t>
  </si>
  <si>
    <t>Краткосрочные резервы</t>
  </si>
  <si>
    <t>Текущие налоговые обязательства по подоходному налогу</t>
  </si>
  <si>
    <t>Вознаграждения работникам</t>
  </si>
  <si>
    <t>Прочие краткосрочные обязательства</t>
  </si>
  <si>
    <t>Итого краткосрочных обязательств</t>
  </si>
  <si>
    <t>300</t>
  </si>
  <si>
    <t>Обязательства выбывающих групп, предназначенных для продажи</t>
  </si>
  <si>
    <t>IV. Долгосрочные обязательства</t>
  </si>
  <si>
    <t>Прочие долгосрочные финансовые обязательства</t>
  </si>
  <si>
    <t>Долгосрочная торговая и прочая кредиторская задолженность</t>
  </si>
  <si>
    <t>Долгосрочные резервы</t>
  </si>
  <si>
    <t>Отложенное налогоые обязательства</t>
  </si>
  <si>
    <t>Прочие долгосрочные обязательства</t>
  </si>
  <si>
    <t>Итого долгосрочных обязательств</t>
  </si>
  <si>
    <t>400</t>
  </si>
  <si>
    <t>V. Капитал</t>
  </si>
  <si>
    <t>Уставный (акционерный) капитал</t>
  </si>
  <si>
    <t>Эмиссионный доход</t>
  </si>
  <si>
    <t>Выкупленные собственные долевые инструменты</t>
  </si>
  <si>
    <t>Прочие резервы</t>
  </si>
  <si>
    <t>Резервы</t>
  </si>
  <si>
    <t>Нераспределенная прибыль (непокрытый убыток)</t>
  </si>
  <si>
    <t>Итого капитал, относимый на собственников материнской организации</t>
  </si>
  <si>
    <t>Доля неконтролирующих собственников</t>
  </si>
  <si>
    <t>Всего капитал</t>
  </si>
  <si>
    <t>Доход от реализации продукции и оказания услуг</t>
  </si>
  <si>
    <t>010</t>
  </si>
  <si>
    <t>Себестоимость реализованной продукции и оказанных услуг</t>
  </si>
  <si>
    <t>020</t>
  </si>
  <si>
    <t>Валовая прибыль (стр. 010 - стр. 020)</t>
  </si>
  <si>
    <t>030</t>
  </si>
  <si>
    <t>040</t>
  </si>
  <si>
    <t>Прочие доходы</t>
  </si>
  <si>
    <t>050</t>
  </si>
  <si>
    <t>Расходы на реализацию продукции и оказание услуг</t>
  </si>
  <si>
    <t>060</t>
  </si>
  <si>
    <t>Административные расходы</t>
  </si>
  <si>
    <t>070</t>
  </si>
  <si>
    <t>Расходы на финансирование</t>
  </si>
  <si>
    <t>080</t>
  </si>
  <si>
    <t>Прочие расходы</t>
  </si>
  <si>
    <t>090</t>
  </si>
  <si>
    <t>Доля прибыли/убытка организаций, учитываемых по методу долевого участия</t>
  </si>
  <si>
    <t>Прибыль (убыток) от прекращенной деятельности</t>
  </si>
  <si>
    <t>Расходы по корпоративному подоходному налогу</t>
  </si>
  <si>
    <t>Переоценка основных средств</t>
  </si>
  <si>
    <t>Корректировка при реклассификации в составе прибыли/убытка</t>
  </si>
  <si>
    <t>Переоценка финансовых активов, имеющихся в наличии для продажи</t>
  </si>
  <si>
    <t>Доля меньшинства</t>
  </si>
  <si>
    <t>Прибыль на акцию</t>
  </si>
  <si>
    <t>I. Движение денежных средств от операционной деятельности</t>
  </si>
  <si>
    <t>1. Поступление денежных средств, всего</t>
  </si>
  <si>
    <t>в том числе:</t>
  </si>
  <si>
    <t>реализация товаров и услуг</t>
  </si>
  <si>
    <t>прочая выручка</t>
  </si>
  <si>
    <t>авансы полученные от покупателей, заказчиков</t>
  </si>
  <si>
    <t>поступления по договорам страхования</t>
  </si>
  <si>
    <t>полученные вознаграждения</t>
  </si>
  <si>
    <t>прочие поступления</t>
  </si>
  <si>
    <t>2. Выбытие денежных средств, всего</t>
  </si>
  <si>
    <t>платежи поставщикам за товары и услуги</t>
  </si>
  <si>
    <t>авансы выданные поставщикам товаров и услуг</t>
  </si>
  <si>
    <t>выплаты по заработной плате</t>
  </si>
  <si>
    <t xml:space="preserve">выплата вознаграждения </t>
  </si>
  <si>
    <t>выплаты по договорам страхования</t>
  </si>
  <si>
    <t>подоходный налог и другие платежи в бюджет</t>
  </si>
  <si>
    <t>прочие выплаты</t>
  </si>
  <si>
    <t>3. Чистая сумма денежных средств от операционной деятельности (стр. 010 - стр. 020)</t>
  </si>
  <si>
    <t>II. Движение денежных средств от инвестиционной деятельности</t>
  </si>
  <si>
    <t>1. Поступление денежных средств от инвестиционной  деятельности, всего</t>
  </si>
  <si>
    <t>реализация основных средств</t>
  </si>
  <si>
    <t>реализация нематериальных активов</t>
  </si>
  <si>
    <t>реализация других долгосрочных активов</t>
  </si>
  <si>
    <t>реализация долевых инструментов других организаций (кроме дочерних) и долей участия в совместном предпренимательстве</t>
  </si>
  <si>
    <t xml:space="preserve">реализация долговых инструментов других организаций </t>
  </si>
  <si>
    <t>реализация  прочих финансовых активов</t>
  </si>
  <si>
    <t>фьючерсные и форвардные контракты, опционы и свопы</t>
  </si>
  <si>
    <t>полученные дивиденты</t>
  </si>
  <si>
    <t>приобретение основных средств</t>
  </si>
  <si>
    <t>приобретение нематериальных активов</t>
  </si>
  <si>
    <t>приобретение других долгосрочных активов</t>
  </si>
  <si>
    <t>приобретение долевых инструментов других организаций (кроме дочерних) и долей участия в совместном предпренимательстве</t>
  </si>
  <si>
    <t xml:space="preserve">приобретение долговых инструментов других организаций </t>
  </si>
  <si>
    <t>приобретение контроля над дочерними организациями</t>
  </si>
  <si>
    <t>приобретение  прочих финансовых активов</t>
  </si>
  <si>
    <t>инвестиции в ассоциированные и дочерние организации</t>
  </si>
  <si>
    <t>3. Чистая сумма денежных средств от инвестиционной деятельности (стр. 040 - стр. 050)</t>
  </si>
  <si>
    <t>III. Движение денежных средств от финансовой деятельности</t>
  </si>
  <si>
    <t>1. Поступление денежных средств финансовой деятельности, всего</t>
  </si>
  <si>
    <t>эмиссия акций и других ценных бумаг</t>
  </si>
  <si>
    <t>получение займов</t>
  </si>
  <si>
    <t>получение вознаграждения по финансируемой аренде</t>
  </si>
  <si>
    <t>погашение займов</t>
  </si>
  <si>
    <t>выплата дивидендов</t>
  </si>
  <si>
    <t>выплаты собственникам по акциям организации</t>
  </si>
  <si>
    <t>прочие выбытия</t>
  </si>
  <si>
    <t>3. Чистая сумма денежных средств от финансовой деятельности (стр. 90 - стр. 100)</t>
  </si>
  <si>
    <t>4. Влияние обменных курсов валют к тенге</t>
  </si>
  <si>
    <t>5.  Увеличение +/- уменьшение денежных средств (стр. 030 +/- стр. 080 +/-стр.120 +/- стр. 110)</t>
  </si>
  <si>
    <t>6. Денежные средства и их эквиваленты на начало отчетного периода</t>
  </si>
  <si>
    <t>7. Денежные средства и их эквиваленты на конец отчетного периода</t>
  </si>
  <si>
    <t>уставный капитал</t>
  </si>
  <si>
    <t>резервный капитал</t>
  </si>
  <si>
    <t>нераспределенная прибыль</t>
  </si>
  <si>
    <t>итого капитал</t>
  </si>
  <si>
    <t>Сальдо на 1 января 2012 г.</t>
  </si>
  <si>
    <t>БК</t>
  </si>
  <si>
    <t>Прибыль/убыток за период</t>
  </si>
  <si>
    <t>Дисконт выданного займа  материнской компании</t>
  </si>
  <si>
    <t>Взносы в уставный капитал</t>
  </si>
  <si>
    <t xml:space="preserve">Перевод амортизации от переоценки основных средств </t>
  </si>
  <si>
    <t xml:space="preserve">Реклассификация резерва от переоценки ОС </t>
  </si>
  <si>
    <t xml:space="preserve">Сальдо на 31 декабря 2011 г. </t>
  </si>
  <si>
    <t>НД</t>
  </si>
  <si>
    <t>Дивиденды</t>
  </si>
  <si>
    <t>БИ</t>
  </si>
  <si>
    <t>Коррек. БК</t>
  </si>
  <si>
    <t>Дискон от выданного займа</t>
  </si>
  <si>
    <t>Коррек. НД</t>
  </si>
  <si>
    <t>Коррек. БИ</t>
  </si>
  <si>
    <t>ИТОГО</t>
  </si>
  <si>
    <t xml:space="preserve"> на 30 июня 2013 БК</t>
  </si>
  <si>
    <t>на 30июня 2013 г. НД</t>
  </si>
  <si>
    <t>на 30 июня2013 г. БИ</t>
  </si>
  <si>
    <t>Коррек. БК 1полуг 2013 г.</t>
  </si>
  <si>
    <t>Коррек. НД 1 полугод 2013г.</t>
  </si>
  <si>
    <t xml:space="preserve">Коррек. БИ 1полуг 2013г. </t>
  </si>
  <si>
    <t>Сальдо на 1 января 2013 г.</t>
  </si>
  <si>
    <t xml:space="preserve">Сальдо на 30 июня 2013г. </t>
  </si>
  <si>
    <t xml:space="preserve">Сальдо на 30 июня 2012г. </t>
  </si>
  <si>
    <t xml:space="preserve">Сальдо на 30 июня 2013 г. </t>
  </si>
  <si>
    <t xml:space="preserve">Сальдо на 30 ииюря 2013 г. </t>
  </si>
  <si>
    <t xml:space="preserve">Сальдо на 30июня 2013 г. </t>
  </si>
  <si>
    <t xml:space="preserve">Сальдо на 30 июня 2012 г. </t>
  </si>
  <si>
    <t xml:space="preserve">Сальдо на 30 июня  г. </t>
  </si>
  <si>
    <t xml:space="preserve">Сальдо на 30 июня  2012 г. </t>
  </si>
  <si>
    <t xml:space="preserve">Сальдо на 30 июня  2013 г. </t>
  </si>
  <si>
    <t>на 31 декабря   2012 г.</t>
  </si>
  <si>
    <t>ТОО «Беккер и К»</t>
  </si>
  <si>
    <t>Консолидированная финансовая отчетность</t>
  </si>
  <si>
    <t>(а)  Организация и деятельность</t>
  </si>
  <si>
    <t>Организация и основная деятельность</t>
  </si>
  <si>
    <t>ТОО «Беккер и К» (далее – «Компания») является предприятием, прошедшим перерегистрацию в Министерстве юстиции РК 13 августа 2003 года под регистрационным номером 57305-1910-ТОО ИУ. Дата первичной регистрации - 20 февраля 1991 года.</t>
  </si>
  <si>
    <t>Компания зарегистрирована в качестве налогоплательщика 17 мая 2001 года под регистрационным номером 600200026766 (свидетельство налогоплательщика Республики Казахстан серия 60 №0017640, выдано Налоговым комитетом по Бостандыкскому району г. Алматы).</t>
  </si>
  <si>
    <t>Основным видом деятельности Компании является производство и реализация продуктов питания, в том числе колбасных, хлебобулочных и кондитерских изделий.</t>
  </si>
  <si>
    <t>Местонахождение Компании: 050046, Республика Казахстан, г. Алматы, улица Розыбакиева, 95.</t>
  </si>
  <si>
    <t>Группа состоит  из Компаний:  ТОО «Немецкий двор» и ТОО «Беккер Инвест» (далее – «Дочернее предприятие Немецкий двор» и «Дочернее предприятие Беккер Инвест»), в которых Компания является участником с долей 100%.</t>
  </si>
  <si>
    <t>Сведения о Дочернем предприятии</t>
  </si>
  <si>
    <t>Дочернее предприятие Немецкий двор  прошло перерегистрацию в Министерстве юстиции РК 2 ноября 2006 года под регистрационным номером 73940-1910-ТОО. Дата первичной регистрации – 11 ноября 2005 года.</t>
  </si>
  <si>
    <t>Основными видами деятельности Дочернего предприятия являются:</t>
  </si>
  <si>
    <t xml:space="preserve">Дочернее предприятие Беккер Инвест прошло регистрацию в Министерстве юстиции РК 23 июля 2011 года под регистрационным номером 110968-1910-ТОО. </t>
  </si>
  <si>
    <t>Лицензии, разрешения</t>
  </si>
  <si>
    <t>Группа осуществляет деятельность на основании следующих документов:</t>
  </si>
  <si>
    <t>(б)  Условия осуществления хозяйственной деятельности в Казахстане</t>
  </si>
  <si>
    <t>Деятельность Группы подвержена экономическим, политическим и социальным рискам, присущим ведению бизнеса в Казахстане. Данные риски включают последствия политических решений правительства, экономические условия, введение или изменение налоговых требований и иных правовых норм, колебания валютных курсов и осуществимости контрактных прав.</t>
  </si>
  <si>
    <t>(а)   Заявление о соответствии МСФО</t>
  </si>
  <si>
    <t>Данная консолидированная финансовая отчетность была подготовлена в соответствии с требованиями Международных стандартов финансовой отчетности (далее – «МСФО»), выпущенных Советом по Международным Стандартам  Бухгалтерского Учета (далее – «СМСБУ») и разъяснениями Комитета по разъяснениям к Международной Финансовой Отчетности (далее – «КИМСФО»).</t>
  </si>
  <si>
    <t>(б)   Новые стандарты и разъяснения, еще не принятые к использованию</t>
  </si>
  <si>
    <t>Ряд новых стандартов и интерпретаций еще не вступили в силу, и их требования не учитывались при подготовке данной консолидированной финансовой отчетности:</t>
  </si>
  <si>
    <t>2.  Основы подготовки консолидированной финансовой отчетности, продолжение</t>
  </si>
  <si>
    <t>Руководство Группы пришло к выводу, что предлагаемые изменения существенно не повлияют на его финансовое положение и результаты деятельности.</t>
  </si>
  <si>
    <t>КМСБУ предлагает ежегодный проект изменения стандартов, основной целью которого является устранение существующих несоответствий и разъяснение некоторых формулировок. Он содержит отдельные переходные положения для разных стандартов. Группа приняла те изменения и дополнения МСФО, которые были применимы к ее деятельности. Данные изменения существенно не повлияли на финансовое положение и результаты деятельности Группы.</t>
  </si>
  <si>
    <t>(в)  Основа консолидации</t>
  </si>
  <si>
    <t>Консолидированная финансовая отчетность включает  в себя финансовую отчетность Компании и ее Дочернего предприятия, которое контролируется  Компанией. Контроль достигается при наличии у Компании права влиять на финансовую и операционную политику инвестируемого предприятия с целью извлечения выгоды от его деятельности.</t>
  </si>
  <si>
    <t>При необходимости консолидированная финансовая отчетность Дочернего предприятия корректируется для приведения его учетной политики в соответствии с учетной политикой Компании.</t>
  </si>
  <si>
    <t>Все существенные внутригрупповые операции, остатки, доходы и расходы полностью исключаются при консолидации.</t>
  </si>
  <si>
    <t>(г)   Функциональная валюта и валюта представления отчетности</t>
  </si>
  <si>
    <t>Национальной валютой Республики Казахстан является казахстанский тенге (далее – «тенге»), который является функциональной валютой Группы и валютой, используемой при составлении данной консолидированной финансовой отчетности. Вся финансовая информация, представленная в тенге, округлена до тысяч (далее – «тыс. тенге»).</t>
  </si>
  <si>
    <t>(д)  Использование профессиональных суждений, расчетных оценок и допущений</t>
  </si>
  <si>
    <t>При подготовке данной консолидированной финансовой отчетности в соответствии с МСФО, руководство использовало профессиональные суждения, допущения и расчетные оценки, имеющие отношение к вопросам отражения активов и обязательств, и раскрытия информации об условных активах и обязательствах. Фактические результаты могут отличаться от этих оценок.</t>
  </si>
  <si>
    <t xml:space="preserve">Допущения и сделанные на их основе расчетные оценки постоянно анализируются на предмет необходимости их изменения. Изменения в расчетных оценках признаются в том отчетном периоде, когда эти оценки были пересмотрены, и во всех последующих периодах, затронутых указанными изменениями.  </t>
  </si>
  <si>
    <t>В следующих примечаниях представлена, в частности, информация об основных сферах, требующих оценки неопределенности, и о наиболее важных суждениях, сформированных в процессе применения положений учетной политики и оказавших наиболее значительное влияние на суммы, отраженные в консолидированной финансовой отчетности.</t>
  </si>
  <si>
    <t>При подготовке консолидированной финансовой отчетности Группа последовательно применяла нижеследующие основные принципы учетной политики.</t>
  </si>
  <si>
    <t>(а) Иностранная валюта</t>
  </si>
  <si>
    <t>Операции в иностранной валюте</t>
  </si>
  <si>
    <t>Операции в иностранной валюте пересчитываются в соответствующую функциональную валюту Компании и ее Дочернего предприятия по обменным курсам на даты совершения этих операций. Монетарные активы и обязательства, выраженные в иностранной валюте на отчетную дату, пересчитываются в функциональную валюту по обменному курсу, действующему на эту отчетную дату. Немонетарные активы и обязательства, выраженные в иностранной валюте и оцениваемые по справедливой стоимости, пересчитываются в функциональную валюту по обменному курсу, действующему на дату определения справедливой стоимости. Курсовые разницы, возникающие при пересчете, признаются в отчете о совокупном доходе, за исключением разниц, возникающих при пересчете долевых инструментов, классифицированных в категорию финансовых активов, имеющихся в наличии для продажи.</t>
  </si>
  <si>
    <t>Евро</t>
  </si>
  <si>
    <t>Доллар США</t>
  </si>
  <si>
    <t>(б) Основные средства</t>
  </si>
  <si>
    <t>Признание и оценка</t>
  </si>
  <si>
    <t>Основные средства отражаются по стоимости (или исходной стоимости) за вычетом накопленного износа и убытков от обесценения. Стоимость активов, изготовленных или построенных хозяйственным способом, включает затраты на приобретение материалов, прямые затраты по оплате труда, а также соответствующую часть накладных расходов. Исходная стоимость объектов основных средств на 1 января 2008 года, дату перехода Группы на МСФО, была определена на основании их амортизируемой стоимости замещения на указанную дату в соответствии с требованиями МСФО 1.</t>
  </si>
  <si>
    <t>Если объект основных средств состоит из отдельных компонентов, имеющих разный срок полезного использования, каждый из них учитывается как отдельный объект (значительный компонент) основных средств.</t>
  </si>
  <si>
    <t>Последующие затраты</t>
  </si>
  <si>
    <t>Затраты, связанные с заменой части (значительного компонента) объекта основных средств увеличивают балансовую стоимость этого объекта в случае, если вероятность того, что Группа получит будущие экономические выгоды, связанные с указанной частью, является высокой и ее стоимость можно надежно определить. Балансовая стоимость замененной части списывается. Затраты на текущий ремонт и обслуживание объектов основных средств признаются в отчете о совокупном доходе в момент их возникновения.</t>
  </si>
  <si>
    <t>Износ</t>
  </si>
  <si>
    <t>Амортизация признается в консолидированной финансовой отчетности методом прямолинейного равномерного списания на протяжении ожидаемого срока полезного использования актива.  Земельные участки не амортизируются.</t>
  </si>
  <si>
    <t>Ожидаемые сроки полезного использования основных средств в отчетном и сравнительном периодах были следующими:</t>
  </si>
  <si>
    <t>Методы амортизации, ожидаемые сроки полезного использования и остаточная стоимость основных средств анализируются по состоянию на каждую отчетную дату.</t>
  </si>
  <si>
    <t>3. Основные положения финансовой учетной политики, продолжение</t>
  </si>
  <si>
    <t>(в)  Нематериальные активы</t>
  </si>
  <si>
    <t>Нематериальные активы включают программное обеспечение. Нематериальные активы, оцениваются по стоимости приобретения. После признания нематериальные активы отражаются по стоимости приобретения за вычетом накопленной амортизации и убытков от обесценения.</t>
  </si>
  <si>
    <t>Нематериальные активы амортизируются на основе прямолинейного метода в течение всего срока полезной службы. Пересмотр сроков полезной службы проводится ежегодно и, в случае необходимости, изменение сроков полезной службы признается перспективно.</t>
  </si>
  <si>
    <t>Научно-исследовательские и опытно-конструкторские работы</t>
  </si>
  <si>
    <t>Затраты на научно-исследовательские работы, проводимые с целью получения новых научно-технических данных и знаний, относятся на расходы периода по мере их возникновения.</t>
  </si>
  <si>
    <t>Затраты на опытно-конструкторские работы, в ходе которых исследовательские разработки применяются для планирования или проектирования производства новых или значительно усовершенствованных продуктов и процессов, подлежат капитализации, если продукт или процесс является осуществимым с технической или коммерческой точки зрения, и Группа обладает достаточными средствами для завершения разработок. Капитализированные затраты включают стоимость материалов, прямые затраты по оплате труда и соответствующую часть накладных расходов. Прочие расходы на опытно-конструкторские работы относятся на расходы периода по мере их возникновения. Капитализированные расходы на опытно-конструкторские работы учитываются по себестоимости за вычетом накопленной амортизации и убытков от обесценения.</t>
  </si>
  <si>
    <t>(г)   Обесценение</t>
  </si>
  <si>
    <t>Анализ балансовой стоимости долгосрочных активов на наличие обесценения проводится в тех случаях, когда события или изменения обстоятельств свидетельствуют о возможности того, что такая балансовая стоимость может быть невозмещаемой. При наличии признаков обесценения производится оценка, позволяющая выяснить, превышает ли балансовая стоимость активов их возмещаемую стоимость.</t>
  </si>
  <si>
    <t>Проведение такого анализа осуществляется отдельно для каждого актива, за исключением активов, которые самостоятельно не генерируют денежные поступления. В этом случае анализ проводится на уровне подразделения, генерирующего денежные поступления.</t>
  </si>
  <si>
    <t>В случае, когда балансовая стоимость актива или подразделения, генерирующего денежные поступления, превышает его возмещаемую стоимость, создается резерв для отражения актива по меньшей стоимости. Убытки от обесценения признаются в отчете о совокупном доходе.</t>
  </si>
  <si>
    <t>Расчет возмещаемой суммы</t>
  </si>
  <si>
    <t>Возмещаемая стоимость актива определяется как наибольшая величина из ценности его использования и справедливой стоимости актива за вычетом расходов на его реализацию. При оценке ценности использования актива, ожидаемые будущие денежные потоки дисконтируются до их текущей стоимости с применением ставки дисконтирования до вычета налогов, отражающей текущие рыночные оценки временной стоимости денег и риски, характерные для данного актива.</t>
  </si>
  <si>
    <t>Возмещаемая стоимость активов, которые самостоятельно не генерируют денежные поступления, определяется в составе возмещаемой стоимости подразделения, генерирующего денежные поступления, к которому относятся данные активы. Подразделения Группы, генерирующие денежные поступления, представляют собой наименьшие идентифицируемые группы активов, генерирующие поступления в значительной степени независимо от других активов или групп активов.</t>
  </si>
  <si>
    <t>Восстановление убытков от обесценения</t>
  </si>
  <si>
    <t>Убыток от обесценения подлежит восстановлению в том случае, если имеются изменения в оценках, используемых для определения возмещаемой суммы. Убыток от обесценения восстанавливается только в той степени, в которой балансовая стоимость актива не превышает балансовую стоимость, которая была бы определена за вычетом износа или амортизации, если бы убыток от обесценения не был признан.</t>
  </si>
  <si>
    <t>(д)  Товарно-материальные запасы</t>
  </si>
  <si>
    <t xml:space="preserve">Запасы отражаются по наименьшей из двух величин: фактической себестоимости и чистой стоимости продажи. Фактическая себестоимость запасов определяется на основе средневзвешенной величины, и в нее включаются затраты на приобретение, затраты на производство или переработку и прочие затраты на доставку запасов до их настоящего местоположения и приведения их в соответствующее состояние.  </t>
  </si>
  <si>
    <t>Чистая стоимость продажи представляет собой предполагаемую (расчетную) цену продажи объекта запасов в ходе обычной хозяйственной деятельности предприятия, за вычетом расчетных затрат на завершение выполнения работ по этому объекту и его продаже.</t>
  </si>
  <si>
    <t>(е) Торговая и прочая дебиторская задолженность</t>
  </si>
  <si>
    <t>Торговая дебиторская задолженность отражается по сумме выставленного счета (которая является справедливой стоимостью средств к получению) за вычетом резерва на обесценение этой задолженности. Резерв на обесценение дебиторской задолженности создается при наличии объективных свидетельств того, что Группа не сможет взыскать всю задолженность на первоначальных условиях. Сумма резерва представляет собой разницу между первоначальной балансовой стоимостью и возмещаемой суммой, которая является текущей стоимостью ожидаемых потоков денежных средств, дисконтированных по первоначальной эффективной процентной ставке финансовых инструментов.</t>
  </si>
  <si>
    <t>Справедливая стоимость торговой и прочей дебиторской задолженности, за исключением относящейся к незавершенному строительству, оценивается по приведенной стоимости будущих потоков денежных средств, дисконтированных по рыночной ставке процента по состоянию на отчетную дату.</t>
  </si>
  <si>
    <t xml:space="preserve">(ж) Денежные средства </t>
  </si>
  <si>
    <t>Денежные средства включают денежные средства в банках и в кассе и краткосрочные депозиты до востребования или со сроками погашения менее трех месяцев.</t>
  </si>
  <si>
    <t>(з) Займы</t>
  </si>
  <si>
    <t>Займы первоначально признаются по справедливой стоимости полученных средств за вычетом затрат по сделке, непосредственно связанных с их получением. После первоначального признания займы оцениваются по амортизированной стоимости по методу эффективной процентной ставки.</t>
  </si>
  <si>
    <t>(и) Резервы</t>
  </si>
  <si>
    <t>Провизии признаются в том случае, если у Группы есть текущее или подразумеваемое обязательство в результате прошлого события и существует вероятность того, что потребуется отток экономических ресурсов для погашения данного обязательства, а также может быть сделана его разумная стоимостная оценка. Если влияние временной стоимости денег является существенным, провизии рассчитываются путем дисконтирования ожидаемых будущих потоков денежных средств по ставке до вычета налогов, отражающей текущие оценки рынка в отношении временной стоимости денег и, где уместно, риски, присущие данному обязательству. Амортизация дисконта по провизиям признается как расходы по финансированию.</t>
  </si>
  <si>
    <t>(к) Пенсионные обязательства</t>
  </si>
  <si>
    <t>Группа не имеет дополнительных схем пенсионного обеспечения, кроме участия в государственной пенсионной системе Республики Казахстан, которая требует от работодателя и работника производить текущие отчисления, рассчитываемые по установленной процентной ставке от заработной платы.</t>
  </si>
  <si>
    <t>(л) Доходы</t>
  </si>
  <si>
    <t>Доходы признаются в той мере, в которой существует значительная вероятность того, что Группа получит приток экономических выгод, и что сумма дохода может быть оценена с достаточной достоверностью. Доход, связанный с реализацией  товаров, признается в отчете о доходах и расходах с момента передачи всех существенных рисков и выгод от владения товаром к покупателю, обычно после перехода к покупателю права собственности на товар.</t>
  </si>
  <si>
    <t>Доходы от продаж признаются за вычетом налога на добавленную стоимость.</t>
  </si>
  <si>
    <t>(м) Затраты по займам</t>
  </si>
  <si>
    <t>Затраты по займам, непосредственно относящиеся к приобретению, строительству или производству квалифицированного актива, ввод в эксплуатацию или реализация которого наступает через значительный период времени, капитализируются путем включения в стоимость данного актива до момента фактической готовности такого актива к вводу в эксплуатацию или реализации.</t>
  </si>
  <si>
    <t>Все прочие затраты по займам признаются в консолидированном отчете о совокупном доходе.</t>
  </si>
  <si>
    <t>(н)  Расходы по подоходному налогу</t>
  </si>
  <si>
    <t>Расходы по подоходному налогу включают в себя подоходный налог текущего периода и отложенный налог. Расходы по подоходному налогу отражаются в отчете о совокупном доходе за исключением той его части, которая относится к операциям, признаваемым непосредственно в составе собственного капитала, в каковом случае он также признается в составе собственного капитала.</t>
  </si>
  <si>
    <t>Текущий подоходный налог представляет собой сумму налога, подлежащую уплате в отношении налогооблагаемого дохода за период, рассчитанную на основе действующих или по существу введенных в действие по состоянию на отчетную дату налоговых ставок, а также все корректировки величины обязательства по уплате подоходного налога за прошлые периоды.</t>
  </si>
  <si>
    <t>Отложенный налог отражается методом балансовых обязательств в отношении временных разниц, возникающих между балансовой стоимостью активов и обязательств, определяемой для целей их отражения в консолидированной финансовой отчетности, и их налоговой базой. Отложенный налог не признается в отношении следующих временных разниц: разниц, возникающих при первоначальном признании активов и обязательств в результате осуществления сделки, не являющейся сделкой по объединению бизнеса, и которая не влияет ни на бухгалтерскую, ни на налогооблагаемый доход, а также разниц, относящихся к инвестициям в дочерние предприятия, если существует высокая вероятность того, что эти временные разницы не будут реализованы в обозримом будущем. Кроме того, отложенный налог не признается в отношении налогооблагаемых временных разниц, возникающих при первоначальном признании гудвилла.</t>
  </si>
  <si>
    <t>Величина отложенного налога определяется исходя из налоговых ставок, которые будут применяться в будущем, в момент восстановления временных разниц, основываясь на действующих или по существу введенных в действие законах по состоянию на отчетную дату. Отложенные налоговые активы и обязательства взаимозачитываются в том случае, если имеется законное право зачитывать друг против друга суммы активов и обязательств по текущему подоходному налогу, и они имеют отношение к подоходному налогу, взимаемому одним и тем же налоговым органом с одного и того же налогооблагаемого предприятия, либо с разных налогооблагаемых предприятий, но эти предприятия намерены урегулировать текущие налоговые обязательства и активы на нетто-основе или реализация  их налоговых активов будет осуществлена одновременно с погашением их налоговых обязательств.</t>
  </si>
  <si>
    <t>Отложенный налоговый актив признается только в той мере, в какой существует высокая вероятность получения налогооблагаемого дохода, против которого могут быть реализованы соответствующие вычитаемые временные разницы. Величина отложенных налоговых активов анализируется по состоянию на каждую отчетную дату и снижается в той части, в которой реализация соответствующих налоговых выгод более не является вероятной.</t>
  </si>
  <si>
    <t>(о) Финансовые инструменты</t>
  </si>
  <si>
    <t>Признание</t>
  </si>
  <si>
    <t>Финансовые активы и обязательства признаются Группой в бухгалтерском балансе тогда и только тогда, когда она становится стороной по контракту на данный инструмент.</t>
  </si>
  <si>
    <t>Взаимозачет финансовых активов и обязательств с отражением итога в бухгалтерском балансе осуществляется при наличии юридически закрепленного права производить взаимозачет признанных сумм и намерения проводить взаиморасчеты на нетто основе или реализовать актив одновременно с погашением обязательства.</t>
  </si>
  <si>
    <t>Оценка</t>
  </si>
  <si>
    <t>При первоначальном признании финансовых активов и обязательств, они оцениваются по справедливой стоимости, представляющей собой уплаченное или полученное возмещение, включающее также непосредственные затраты по сделке. Доходы или расходы при первоначальном признании признаются в отчете о совокупном доходе.</t>
  </si>
  <si>
    <t>Кредиты и дебиторская задолженность представляют собой кредиты и дебиторскую задолженность, образованные при предоставлении Группой денежных средств заемщику. Кредиты и дебиторская задолженность включают в себя кредиты и авансы за исключением приобретенных займов.</t>
  </si>
  <si>
    <t>Прекращение признания</t>
  </si>
  <si>
    <t>Прекращение признания финансовых активов производится в случае, когда Группа теряет контроль над правами по контракту на данный актив. Такая ситуация имеет место, когда права реализованы, переданы либо утратили силу. Прекращение признания финансовых обязательств производится в случае их погашения.</t>
  </si>
  <si>
    <t>Обесценение финансовых активов</t>
  </si>
  <si>
    <t>На каждую дату балансового отчета Группа осуществляет оценку финансового актива или группы финансовых активов на наличие объективного свидетельства обесценения. Считается, что произошло обесценение финансового актива или группы финансовых активов, только в том случае если имеется объективное свидетельство обесценения в результате одного (или более) события, которое произошло после первоначального признания актива (далее – «событие убытка») и это событие убытка оказывает воздействие на предполагаемые будущие потоки денежных средств по финансовому активу или группе финансовых активов, которые могут быть достоверно оценены.</t>
  </si>
  <si>
    <t>Данная консолидированная финансовая отчетность подготовлена на основе допущения о том, что Группа будет продолжать свою деятельность на основе непрерывности.</t>
  </si>
  <si>
    <t>Вследствие влияния мирового экономического кризиса, ряд крупнейших финансовых учреждений объявили себя банкротами и получили финансовую помощь от государства. Несмотря на меры, которые были приняты Правительством Республики Казахстан для стабилизации экономики, на дату подписания консолидированной финансовой отчетности существует экономическая неопределенность относительно доступности и стоимости кредитования, как для Группы, так и ее контрагентов. Ситуация экономической неопределенности может сохраняться в ближайшем будущем. В связи с этим, существует риск того, что возмещаемая стоимость активов Группы может оказаться ниже их балансовой стоимости, что соответствующим образом скажется на прибыльности Группы.</t>
  </si>
  <si>
    <t>Прилагаемая консолидированная финансовая отчетность не включает в себя какие-либо корректировки, которые были бы необходимы ввиду данной неопределенности. Возможные корректировки могут быть внесены в консолидированную финансовую отчетность Группы тогда, когда необходимость их отражения станет очевидной, и  станет возможным достоверно оценить их количественное значение.</t>
  </si>
  <si>
    <t>Рентабельность деятельности Группы, в основном, зависит от динамики продажной цены в будущем. Руководство Группы прогнозирует дальнейший рост цен и объемов продажи.</t>
  </si>
  <si>
    <t>5.Сегментная информация</t>
  </si>
  <si>
    <t>Сегмент представляет собой отдельный компонент Группы, связанный с производством товаров или услуг в определенной отрасли и подверженный рискам и выгодам, отличным от рисков и выгод других сегментов. Сегментная информация представлена в соответствии с принятой в Группе первичной сегментацией на отраслевые сегменты, основанной на структуре руководства и внутренней отчетности Группы.</t>
  </si>
  <si>
    <t>Результаты деятельности сегмента, его активы и обязательства включают статьи, непосредственно относимые к сегменту, а также те, которые могут быть обоснованно отнесены к нему. Деятельность Группы, в основном, связана со следующим:</t>
  </si>
  <si>
    <t>6.Доходы</t>
  </si>
  <si>
    <t>(согласно финансовой отчетности  код строки 010)</t>
  </si>
  <si>
    <t>Доходы включают следующие статьи:</t>
  </si>
  <si>
    <t>тыс. тенге</t>
  </si>
  <si>
    <t>Мясные продукты</t>
  </si>
  <si>
    <t>Замороженные полуфабрикаты</t>
  </si>
  <si>
    <t>Кулинарные изделия</t>
  </si>
  <si>
    <t>Продукты пекарни</t>
  </si>
  <si>
    <t>Прочее</t>
  </si>
  <si>
    <t>7.Себестоимость реализации</t>
  </si>
  <si>
    <t>(согласно финансовой отчетности  код строки 020)</t>
  </si>
  <si>
    <t>Себестоимость реализации включает следующие статьи:</t>
  </si>
  <si>
    <t>8.Прочие операционные доходы, нетто</t>
  </si>
  <si>
    <t>(согласно финансовой отчетности  код строки 050)</t>
  </si>
  <si>
    <t>Прочие операционные доходы включают следующие статьи:</t>
  </si>
  <si>
    <t>Льгота по налогу на добавленную стоимость</t>
  </si>
  <si>
    <t>Доход от выбытия основных средств</t>
  </si>
  <si>
    <t>Доход от финансирования</t>
  </si>
  <si>
    <t>Группа применяет положения налогового законодательства Республики Казахстан для организаций, осуществляющих деятельность по переработке сельскохозяйственного сырья.</t>
  </si>
  <si>
    <t>9.Общие и административные расходы</t>
  </si>
  <si>
    <t>(согласно финансовой отчетности  код строки 070)</t>
  </si>
  <si>
    <t>Общие и административные расходы включают следующие статьи:</t>
  </si>
  <si>
    <t>Расходы по заработной плате</t>
  </si>
  <si>
    <t>Обслуживание и ремонт</t>
  </si>
  <si>
    <t>Налоги, кроме подоходного налога</t>
  </si>
  <si>
    <t>Благотворительность</t>
  </si>
  <si>
    <t>Расходные материалы</t>
  </si>
  <si>
    <t>Командировочные расходы</t>
  </si>
  <si>
    <t>Банковские сборы</t>
  </si>
  <si>
    <t>Электрическая  энергия</t>
  </si>
  <si>
    <t>10.Расходы по реализации</t>
  </si>
  <si>
    <t>(согласно финансовой отчетности  код строки 060)</t>
  </si>
  <si>
    <t>Расходы по реализации включают следующие статьи:</t>
  </si>
  <si>
    <t>Расходы по аренде</t>
  </si>
  <si>
    <t>11.Основные средства</t>
  </si>
  <si>
    <t>(а) Определение условной стоимости</t>
  </si>
  <si>
    <t>Компания привлекла ТОО «American Appraisal» для проведения независимой оценки основных средств по состоянию на 1 января 2008 года для определения их условной стоимости на дату перехода Компании на МСФО. Руководство считает, что переоцененная стоимость основных средств отражает их справедливую стоимость на эту дату.</t>
  </si>
  <si>
    <t>(б) Движение основных средств</t>
  </si>
  <si>
    <t>(согласно финансовой отчетности  код строки 118 ,123)</t>
  </si>
  <si>
    <t>Земля, здания и сооружения</t>
  </si>
  <si>
    <t>Машины, оборудование и транспортные средства</t>
  </si>
  <si>
    <t>Незавершенное строительство</t>
  </si>
  <si>
    <t>Итого</t>
  </si>
  <si>
    <t>Стоимость</t>
  </si>
  <si>
    <t>Поступление</t>
  </si>
  <si>
    <t>Выбытие</t>
  </si>
  <si>
    <t>Начисленный износ</t>
  </si>
  <si>
    <t>Остаточная стоимость</t>
  </si>
  <si>
    <t xml:space="preserve">11.Нематериальные активы     </t>
  </si>
  <si>
    <r>
      <t xml:space="preserve">  </t>
    </r>
    <r>
      <rPr>
        <sz val="11"/>
        <color indexed="62"/>
        <rFont val="Times New Roman"/>
        <family val="1"/>
      </rPr>
      <t>(согласно финансовой отчетности  код строки 121)</t>
    </r>
    <r>
      <rPr>
        <b/>
        <sz val="11"/>
        <color indexed="62"/>
        <rFont val="Times New Roman"/>
        <family val="1"/>
      </rPr>
      <t xml:space="preserve">                                    </t>
    </r>
    <r>
      <rPr>
        <b/>
        <u val="single"/>
        <sz val="11"/>
        <color indexed="62"/>
        <rFont val="Times New Roman"/>
        <family val="1"/>
      </rPr>
      <t xml:space="preserve"> </t>
    </r>
    <r>
      <rPr>
        <b/>
        <sz val="11"/>
        <color indexed="62"/>
        <rFont val="Times New Roman"/>
        <family val="1"/>
      </rPr>
      <t xml:space="preserve">                </t>
    </r>
  </si>
  <si>
    <t xml:space="preserve">     тыс. тенге</t>
  </si>
  <si>
    <t>Нематериальные активы / программное обеспечение /:</t>
  </si>
  <si>
    <t>Первоначальная стоимость</t>
  </si>
  <si>
    <t>амортизация</t>
  </si>
  <si>
    <t>остаточная  стоимость</t>
  </si>
  <si>
    <t>12.Товарно-материальные запасы</t>
  </si>
  <si>
    <t>Сырье и материалы</t>
  </si>
  <si>
    <t>Готовая продукция</t>
  </si>
  <si>
    <t>Товары для перепродажи</t>
  </si>
  <si>
    <t>Прочие материалы</t>
  </si>
  <si>
    <t>13.Торговая дебиторская задолженность</t>
  </si>
  <si>
    <t>(согласно финансовой отчетности  код строки 16)</t>
  </si>
  <si>
    <t>Торговая дебиторская задолженность включает краткосрочную задолженность покупателей.</t>
  </si>
  <si>
    <t>Группа постоянно контролирует риск безнадежной задолженности. Принимая во внимание количество и географию торговых дебиторов Группы и их платежеспособность резервы по обесценению на дебиторскую задолженность не начислялись,</t>
  </si>
  <si>
    <t>Торговая дебиторская задолженность покупателей</t>
  </si>
  <si>
    <t>Прочая дебиторская задолженность</t>
  </si>
  <si>
    <t>14.Денежные средства</t>
  </si>
  <si>
    <t>(согласно финансовой отчетности  код строки 10)</t>
  </si>
  <si>
    <t>Текущие счета в банках в иностранной  валюте</t>
  </si>
  <si>
    <t>Текущие счета в банках в тенге</t>
  </si>
  <si>
    <t>Денежные средства в пути</t>
  </si>
  <si>
    <t>Денежные средства в кассе</t>
  </si>
  <si>
    <t xml:space="preserve">Брокерский счет                                                                                                                                                                     </t>
  </si>
  <si>
    <t>15.Уставный капитал</t>
  </si>
  <si>
    <t>В соответствии с уставом Компании сформированный уставный капитал составляет 1146250 тыс. тенге. Собственниками товарищества являются – ТОО Mavanti Holding с долей участия 99,9% и физическое лицо Мирханов Батир Бахтиярович с долей 0,1%.</t>
  </si>
  <si>
    <t>16.Краткосрочные резервы</t>
  </si>
  <si>
    <t>17.Торговая и прочая кредиторская задолженность</t>
  </si>
  <si>
    <t xml:space="preserve">тыс. тенг     </t>
  </si>
  <si>
    <t>18.Условные и потенциальные обязательства</t>
  </si>
  <si>
    <t>(a) Условные обязательства по налогообложению в Казахстане</t>
  </si>
  <si>
    <t>Неопределенности интерпретации налогового законодательства</t>
  </si>
  <si>
    <t>Группа подвержена влиянию неопределенностей, относящихся к определению ее налоговых обязательств. Налоговое законодательство и налоговая практика Казахстана находятся в состоянии непрерывных изменений и, следовательно, подвергаются изменениям и различным интерпретациям.</t>
  </si>
  <si>
    <t>Интерпретации данного законодательства Руководством в сфере его применения к сделкам и деятельности Группы могут не совпадать с интерпретацией налоговых органов. В результате, сделки и операции могут оспариваться соответствующими налоговыми органами, что в свою очередь может привести к взысканию с Группы дополнительных налогов, пени и штрафов, которые могут оказать существенный негативный эффект на финансовое положение Группы и результаты деятельности.</t>
  </si>
  <si>
    <t>Период дополнительного налогообложения</t>
  </si>
  <si>
    <t>Налоговые органы в Казахстане имеют право доначислять налоги в течение пяти лет по истечении соответствующего налогового периода.</t>
  </si>
  <si>
    <t>Возможные дополнительные налоговые обязательства</t>
  </si>
  <si>
    <t>Руководство считает, что Группа выполняет требования налогового законодательства, действующего в Казахстане, а также налоговые условия заключенных договоров, которые влияют на ее деятельность и, следовательно, никакие дополнительные налоговые обязательства возникнуть не могут. Тем не менее, по причинам, изложенным выше, сохраняется риск того, что соответствующие налоговые органы могут иначе толковать договорные положения и требования налогового законодательства.</t>
  </si>
  <si>
    <t>В результате этого, могут возникнуть дополнительные налоговые обязательства. Однако, вследствие ряда вышеуказанных неопределенностей при расчете каких-либо потенциальных дополнительных налоговых обязательств, описанных выше, Руководству нецелесообразно оценивать финансовый эффект налоговых обязательств, если таковые будут иметь место, а также пеню и штрафы, за уплату которых Группа может нести ответственность.</t>
  </si>
  <si>
    <t>(б) Страхование</t>
  </si>
  <si>
    <t>Рынок страховых услуг в Республике Казахстан находится на стадии становления, и многие формы страхования, распространенные в других странах, пока, как правило, не доступны в Казахстане.</t>
  </si>
  <si>
    <t>Группа заключила договор страхования гражданско-правовой ответственности работодателя за причинение вреда жизни и здоровью работника при исполнении им трудовых (служебных) обязанностей.</t>
  </si>
  <si>
    <t>Группа несет ответственность перед третьими лицами в отношении арендуемого имущества, однако Группа не имеет страхового покрытия ответственности перед этими лицами в случае необеспечения сохранности вверенного имущества. В связи с этим, существует риск того, что указанные выше факты могут оказать существенное влияние на деятельность и финансовое положение Группы.</t>
  </si>
  <si>
    <t>(в) Судебные иски</t>
  </si>
  <si>
    <t>В ходе текущей деятельности Группа не имеет каких-либо судебных требований со стороны истцов и не является инициатором судебных разбирательств.</t>
  </si>
  <si>
    <t>Главный бухгалтер                                                                                                              Бельфер Е.А.</t>
  </si>
  <si>
    <t>На 1 января 2013</t>
  </si>
  <si>
    <t>На 30 июня 2013г</t>
  </si>
  <si>
    <t>Срок полезной службы нематериальных активов составляет 5лет.</t>
  </si>
  <si>
    <t>На 30 июня 2013</t>
  </si>
  <si>
    <t>ТОО "БЕККЕР И К"</t>
  </si>
  <si>
    <t>конс</t>
  </si>
  <si>
    <t>прочие оснв с-ва</t>
  </si>
  <si>
    <t xml:space="preserve"> КОНСОЛИДИРОВАННЫЙ   ОТЧЕТ О ФИНАНСОВОМ ПОЛОЖЕНИИ  </t>
  </si>
  <si>
    <t xml:space="preserve"> на 30 июня 2012 БК</t>
  </si>
  <si>
    <t>на 30июня 2012 г. НД</t>
  </si>
  <si>
    <t>на 30 июня  декабря 2012 г. БИ</t>
  </si>
  <si>
    <t xml:space="preserve"> КОНСОЛИДИРОВАННЫЙ  ОТЧЕТ ОБ ИЗМЕНЕНИЯХ В КАПИТАЛЕ</t>
  </si>
  <si>
    <t>Руководитель    ___________________     Абдикадирова А.А.</t>
  </si>
  <si>
    <t>Главный бухгалтер  __________________   Бельфер Е.А.</t>
  </si>
  <si>
    <t>Главный бухгалтер  ________________   Бельфер Е.А.</t>
  </si>
  <si>
    <t xml:space="preserve"> тыс. тенге </t>
  </si>
  <si>
    <t>за отчетный период</t>
  </si>
  <si>
    <t>за предыдущий период</t>
  </si>
  <si>
    <t xml:space="preserve">  ОТЧЕТ О ДВИЖЕНИИ ДЕНЕЖНЫХ СРЕДСТВ                                                                                                   (прямой метод)</t>
  </si>
  <si>
    <r>
      <t>·</t>
    </r>
    <r>
      <rPr>
        <sz val="10"/>
        <color indexed="19"/>
        <rFont val="Times New Roman"/>
        <family val="1"/>
      </rPr>
      <t xml:space="preserve">       </t>
    </r>
    <r>
      <rPr>
        <sz val="10"/>
        <color indexed="8"/>
        <rFont val="Times New Roman"/>
        <family val="1"/>
      </rPr>
      <t>реализация мясных, кулинарных, хлебобулочных и кондитерских изделий;</t>
    </r>
  </si>
  <si>
    <r>
      <t>·</t>
    </r>
    <r>
      <rPr>
        <sz val="10"/>
        <color indexed="19"/>
        <rFont val="Times New Roman"/>
        <family val="1"/>
      </rPr>
      <t xml:space="preserve">       </t>
    </r>
    <r>
      <rPr>
        <sz val="10"/>
        <color indexed="8"/>
        <rFont val="Times New Roman"/>
        <family val="1"/>
      </rPr>
      <t>производство и реализация пива;</t>
    </r>
  </si>
  <si>
    <r>
      <t>·</t>
    </r>
    <r>
      <rPr>
        <sz val="10"/>
        <color indexed="19"/>
        <rFont val="Times New Roman"/>
        <family val="1"/>
      </rPr>
      <t xml:space="preserve">       </t>
    </r>
    <r>
      <rPr>
        <sz val="10"/>
        <color indexed="8"/>
        <rFont val="Times New Roman"/>
        <family val="1"/>
      </rPr>
      <t>ресторанный бизнес.</t>
    </r>
  </si>
  <si>
    <r>
      <t>·</t>
    </r>
    <r>
      <rPr>
        <sz val="10"/>
        <color indexed="19"/>
        <rFont val="Times New Roman"/>
        <family val="1"/>
      </rPr>
      <t xml:space="preserve">       </t>
    </r>
    <r>
      <rPr>
        <sz val="10"/>
        <color indexed="8"/>
        <rFont val="Times New Roman"/>
        <family val="1"/>
      </rPr>
      <t>строительно-монтажные работы</t>
    </r>
  </si>
  <si>
    <r>
      <t>·</t>
    </r>
    <r>
      <rPr>
        <sz val="10"/>
        <color indexed="19"/>
        <rFont val="Times New Roman"/>
        <family val="1"/>
      </rPr>
      <t xml:space="preserve">       </t>
    </r>
    <r>
      <rPr>
        <sz val="10"/>
        <color indexed="8"/>
        <rFont val="Times New Roman"/>
        <family val="1"/>
      </rPr>
      <t>производство и реализация строительных материалов;</t>
    </r>
  </si>
  <si>
    <r>
      <t>·</t>
    </r>
    <r>
      <rPr>
        <sz val="10"/>
        <color indexed="19"/>
        <rFont val="Times New Roman"/>
        <family val="1"/>
      </rPr>
      <t xml:space="preserve">       </t>
    </r>
    <r>
      <rPr>
        <sz val="10"/>
        <color indexed="8"/>
        <rFont val="Times New Roman"/>
        <family val="1"/>
      </rPr>
      <t>проектные работы для строительства.</t>
    </r>
  </si>
  <si>
    <r>
      <t>·</t>
    </r>
    <r>
      <rPr>
        <sz val="10"/>
        <color indexed="19"/>
        <rFont val="Times New Roman"/>
        <family val="1"/>
      </rPr>
      <t xml:space="preserve">       </t>
    </r>
    <r>
      <rPr>
        <sz val="10"/>
        <color indexed="8"/>
        <rFont val="Times New Roman"/>
        <family val="1"/>
      </rPr>
      <t>Государственная лицензия на занятие розничной реализацией алкогольной продукцией по адресу: г. Алматы, ул. Розыбакиева, 95 (серия АА-8 №0058562), выданная Дочернему предприятию 19 февраля 2008 года;</t>
    </r>
  </si>
  <si>
    <r>
      <t>·</t>
    </r>
    <r>
      <rPr>
        <sz val="10"/>
        <color indexed="19"/>
        <rFont val="Times New Roman"/>
        <family val="1"/>
      </rPr>
      <t xml:space="preserve">       </t>
    </r>
    <r>
      <rPr>
        <sz val="10"/>
        <color indexed="8"/>
        <rFont val="Times New Roman"/>
        <family val="1"/>
      </rPr>
      <t>Государственная лицензия на занятие розничной реализацией алкогольной продукцией по адресу: г. Алматы, ул. Жандосова, 162А (серия АА-8 №0058802), выданная Дочернему предприятию 10 апреля 2008 года.</t>
    </r>
  </si>
  <si>
    <r>
      <t>·</t>
    </r>
    <r>
      <rPr>
        <sz val="10"/>
        <color indexed="19"/>
        <rFont val="Times New Roman"/>
        <family val="1"/>
      </rPr>
      <t xml:space="preserve">       </t>
    </r>
    <r>
      <rPr>
        <sz val="10"/>
        <color indexed="8"/>
        <rFont val="Times New Roman"/>
        <family val="1"/>
      </rPr>
      <t>Государственная лицензия на занятие строительно-монтажных работ в сфере архитектурной, градостроительной и строительной деятельности по адресу: г. Алматы пр. Абая, д.153 офис № 19-20 (№09248),  выданная Дочернему предприятию 29 сентября2011 года;</t>
    </r>
  </si>
  <si>
    <r>
      <t>1.</t>
    </r>
    <r>
      <rPr>
        <b/>
        <sz val="7"/>
        <rFont val="Times New Roman"/>
        <family val="1"/>
      </rPr>
      <t xml:space="preserve">            </t>
    </r>
    <r>
      <rPr>
        <b/>
        <sz val="11"/>
        <rFont val="Times New Roman"/>
        <family val="1"/>
      </rPr>
      <t>Общая информация</t>
    </r>
  </si>
  <si>
    <r>
      <t>2.</t>
    </r>
    <r>
      <rPr>
        <b/>
        <sz val="7"/>
        <rFont val="Times New Roman"/>
        <family val="1"/>
      </rPr>
      <t xml:space="preserve">            </t>
    </r>
    <r>
      <rPr>
        <b/>
        <sz val="11"/>
        <rFont val="Times New Roman"/>
        <family val="1"/>
      </rPr>
      <t xml:space="preserve">Основы подготовки консолидированной финансовой отчетности </t>
    </r>
  </si>
  <si>
    <r>
      <t>3.</t>
    </r>
    <r>
      <rPr>
        <b/>
        <sz val="7"/>
        <rFont val="Times New Roman"/>
        <family val="1"/>
      </rPr>
      <t xml:space="preserve">  </t>
    </r>
    <r>
      <rPr>
        <b/>
        <sz val="11"/>
        <rFont val="Times New Roman"/>
        <family val="1"/>
      </rPr>
      <t>Основные положения финансовой учетной политики</t>
    </r>
  </si>
  <si>
    <r>
      <t>3.</t>
    </r>
    <r>
      <rPr>
        <b/>
        <sz val="7"/>
        <rFont val="Times New Roman"/>
        <family val="1"/>
      </rPr>
      <t xml:space="preserve">  </t>
    </r>
    <r>
      <rPr>
        <b/>
        <sz val="11"/>
        <rFont val="Times New Roman"/>
        <family val="1"/>
      </rPr>
      <t>Основные положения финансовой учетной политики продолжение</t>
    </r>
  </si>
  <si>
    <r>
      <t>1.</t>
    </r>
    <r>
      <rPr>
        <b/>
        <sz val="7"/>
        <rFont val="Times New Roman"/>
        <family val="1"/>
      </rPr>
      <t xml:space="preserve">            </t>
    </r>
    <r>
      <rPr>
        <b/>
        <sz val="11"/>
        <rFont val="Times New Roman"/>
        <family val="1"/>
      </rPr>
      <t>Принцип непрерывности</t>
    </r>
  </si>
  <si>
    <r>
      <t>·</t>
    </r>
    <r>
      <rPr>
        <sz val="10"/>
        <color indexed="19"/>
        <rFont val="Times New Roman"/>
        <family val="1"/>
      </rPr>
      <t xml:space="preserve">       </t>
    </r>
    <r>
      <rPr>
        <sz val="10"/>
        <color indexed="8"/>
        <rFont val="Times New Roman"/>
        <family val="1"/>
      </rPr>
      <t>Классификация выпуска прав на приобретение акций – изменения к МСБУ 32 «Финансовые инструменты: представление информации», вступающие в силу с 1 февраля 2010 года;</t>
    </r>
  </si>
  <si>
    <r>
      <t>·</t>
    </r>
    <r>
      <rPr>
        <sz val="10"/>
        <color indexed="19"/>
        <rFont val="Times New Roman"/>
        <family val="1"/>
      </rPr>
      <t xml:space="preserve">       </t>
    </r>
    <r>
      <rPr>
        <sz val="10"/>
        <color indexed="8"/>
        <rFont val="Times New Roman"/>
        <family val="1"/>
      </rPr>
      <t>КИМСФО 19 «Погашение финансовых обязательств долевыми инструментами», вступающий в силу с 1 июля 2010 года;</t>
    </r>
  </si>
  <si>
    <r>
      <t>·</t>
    </r>
    <r>
      <rPr>
        <sz val="10"/>
        <color indexed="19"/>
        <rFont val="Times New Roman"/>
        <family val="1"/>
      </rPr>
      <t xml:space="preserve">       </t>
    </r>
    <r>
      <rPr>
        <sz val="10"/>
        <color indexed="8"/>
        <rFont val="Times New Roman"/>
        <family val="1"/>
      </rPr>
      <t>Предоплата по минимальному требованию к финансированию – поправка к КИМСФО 14, вступающая  в силу 1 января 2011 года;</t>
    </r>
  </si>
  <si>
    <r>
      <t>·</t>
    </r>
    <r>
      <rPr>
        <sz val="10"/>
        <color indexed="19"/>
        <rFont val="Times New Roman"/>
        <family val="1"/>
      </rPr>
      <t xml:space="preserve">       </t>
    </r>
    <r>
      <rPr>
        <sz val="10"/>
        <color indexed="8"/>
        <rFont val="Times New Roman"/>
        <family val="1"/>
      </rPr>
      <t>Изменения к МСБУ 24 «Раскрытие информации о связанных сторонах», вступающие в силу с 1 января 2011 года.</t>
    </r>
  </si>
  <si>
    <r>
      <t>·</t>
    </r>
    <r>
      <rPr>
        <sz val="10"/>
        <color indexed="19"/>
        <rFont val="Times New Roman"/>
        <family val="1"/>
      </rPr>
      <t xml:space="preserve">       </t>
    </r>
    <r>
      <rPr>
        <sz val="10"/>
        <color indexed="8"/>
        <rFont val="Times New Roman"/>
        <family val="1"/>
      </rPr>
      <t>Здания и сооружения 18-20 лет;</t>
    </r>
  </si>
  <si>
    <r>
      <t>·</t>
    </r>
    <r>
      <rPr>
        <sz val="10"/>
        <color indexed="19"/>
        <rFont val="Times New Roman"/>
        <family val="1"/>
      </rPr>
      <t xml:space="preserve">       </t>
    </r>
    <r>
      <rPr>
        <sz val="10"/>
        <color indexed="8"/>
        <rFont val="Times New Roman"/>
        <family val="1"/>
      </rPr>
      <t>Машины, оборудование и транспортные средства 2-5 лет;</t>
    </r>
  </si>
  <si>
    <r>
      <t>·</t>
    </r>
    <r>
      <rPr>
        <sz val="10"/>
        <color indexed="19"/>
        <rFont val="Times New Roman"/>
        <family val="1"/>
      </rPr>
      <t xml:space="preserve">       </t>
    </r>
    <r>
      <rPr>
        <sz val="10"/>
        <color indexed="8"/>
        <rFont val="Times New Roman"/>
        <family val="1"/>
      </rPr>
      <t>Прочие 3-5 лет.</t>
    </r>
  </si>
  <si>
    <r>
      <t>·</t>
    </r>
    <r>
      <rPr>
        <sz val="10"/>
        <color indexed="19"/>
        <rFont val="Times New Roman"/>
        <family val="1"/>
      </rPr>
      <t xml:space="preserve">       </t>
    </r>
    <r>
      <rPr>
        <sz val="10"/>
        <color indexed="8"/>
        <rFont val="Times New Roman"/>
        <family val="1"/>
      </rPr>
      <t>Производство мясных продуктов;</t>
    </r>
  </si>
  <si>
    <r>
      <t>·</t>
    </r>
    <r>
      <rPr>
        <sz val="10"/>
        <color indexed="19"/>
        <rFont val="Times New Roman"/>
        <family val="1"/>
      </rPr>
      <t xml:space="preserve">       </t>
    </r>
    <r>
      <rPr>
        <sz val="10"/>
        <color indexed="8"/>
        <rFont val="Times New Roman"/>
        <family val="1"/>
      </rPr>
      <t>Производство замороженных полуфабрикатов;</t>
    </r>
  </si>
  <si>
    <r>
      <t>·</t>
    </r>
    <r>
      <rPr>
        <sz val="10"/>
        <color indexed="19"/>
        <rFont val="Times New Roman"/>
        <family val="1"/>
      </rPr>
      <t xml:space="preserve">       </t>
    </r>
    <r>
      <rPr>
        <sz val="10"/>
        <color indexed="8"/>
        <rFont val="Times New Roman"/>
        <family val="1"/>
      </rPr>
      <t>Изготовление кулинарных изделий;</t>
    </r>
  </si>
  <si>
    <r>
      <t>·</t>
    </r>
    <r>
      <rPr>
        <sz val="10"/>
        <color indexed="19"/>
        <rFont val="Times New Roman"/>
        <family val="1"/>
      </rPr>
      <t xml:space="preserve">       </t>
    </r>
    <r>
      <rPr>
        <sz val="10"/>
        <color indexed="8"/>
        <rFont val="Times New Roman"/>
        <family val="1"/>
      </rPr>
      <t>Пекарня;</t>
    </r>
  </si>
  <si>
    <r>
      <t>·</t>
    </r>
    <r>
      <rPr>
        <sz val="10"/>
        <color indexed="19"/>
        <rFont val="Times New Roman"/>
        <family val="1"/>
      </rPr>
      <t xml:space="preserve">       </t>
    </r>
    <r>
      <rPr>
        <sz val="10"/>
        <color indexed="8"/>
        <rFont val="Times New Roman"/>
        <family val="1"/>
      </rPr>
      <t>Прочая деятельность.</t>
    </r>
  </si>
  <si>
    <t>Местонахождение   Дочернего   предприятия:   050046,   Республика Казахстан,   г. Алматы,                 ул. Розыбакиева д.95.</t>
  </si>
  <si>
    <t>Местонахождение     Дочернего     предприятия:    050046,   Республика Казахстан,   г. Алматы,                              ул. Розыбакиева д.95.</t>
  </si>
  <si>
    <t>18.Условные и потенциальные обязательства (продолжение)</t>
  </si>
  <si>
    <t>Отложенное налогоые актив</t>
  </si>
  <si>
    <t>за период закончившийся  30 июня 2013г</t>
  </si>
  <si>
    <t>Наименование компонентов</t>
  </si>
  <si>
    <t>Код строки</t>
  </si>
  <si>
    <t>Капитал материнской организации</t>
  </si>
  <si>
    <t>Итого капитал</t>
  </si>
  <si>
    <t>Нераспределенная прибыль</t>
  </si>
  <si>
    <t>Изменение в учетной политике</t>
  </si>
  <si>
    <t>011</t>
  </si>
  <si>
    <t>Пересчитанное сальдо (строка 010+/-строка 011)</t>
  </si>
  <si>
    <t>Общая совокупная прибыль, всего(строка 210 + строка 220):</t>
  </si>
  <si>
    <t>Прибыль (убыток) за год</t>
  </si>
  <si>
    <t>Прочая совокупная прибыль, всего (сумма строк с 221 по 229):</t>
  </si>
  <si>
    <t>Переоценка финансовых активов, имеющиеся в наличии для продажи (за минусом налогового эффекта)</t>
  </si>
  <si>
    <t>Доля в прочей совокупной прибыли (убытке) ассоциированных организаций и совместной деятельности, учитываемых по методу долевого участия</t>
  </si>
  <si>
    <t>Актуарные прибыли (убытки) по пенсионным обязательствам</t>
  </si>
  <si>
    <t>Эффект изменения в ставке подоходного налога на отсроченный налог дочерних организаций</t>
  </si>
  <si>
    <t>Хеджирование денежных потоков (за минусом налогового эффекта)</t>
  </si>
  <si>
    <t>Курсовая разница по инвестициям в зарубежные организации</t>
  </si>
  <si>
    <t>Хеджирование чистых инвестиций в зарубежные операции</t>
  </si>
  <si>
    <t>Операции с собственниками , всего (сумма строк с 310 по 318):</t>
  </si>
  <si>
    <t>Вознаграждения работников акциями:</t>
  </si>
  <si>
    <t>стоимость услуг работников</t>
  </si>
  <si>
    <t/>
  </si>
  <si>
    <t>выпуск акций по схеме вознаграждения работников акциями</t>
  </si>
  <si>
    <t>налоговая выгода в отношении схемы вознаграждения работников акциями</t>
  </si>
  <si>
    <t>Взносы собственников</t>
  </si>
  <si>
    <t>Выпуск собственных долевых инструментов (акций)</t>
  </si>
  <si>
    <t>Выпуск долевых инструментов связанный с объединением бизнеса</t>
  </si>
  <si>
    <t>Долевой компонент конвертируемых инструментов (за минусом налогового эффекта)</t>
  </si>
  <si>
    <t>Выплата дивидендов</t>
  </si>
  <si>
    <t>Прочие распределения в пользу собственников</t>
  </si>
  <si>
    <t>Прочие операции с собственниками</t>
  </si>
  <si>
    <t>Изменения в доле участия в дочерних организациях, не приводящей к потере контроля</t>
  </si>
  <si>
    <t>Пересчитанное сальдо (строка 400+/-строка 401)</t>
  </si>
  <si>
    <t>Общая совокупная прибыль, всего (строка 610+ строка 620):</t>
  </si>
  <si>
    <t>Прочая совокупная прибыль, всего (сумма строк с 621 по 629):</t>
  </si>
  <si>
    <t>Эффект изменения в ставке подоходного налога на отсроченный налог дочерних компаний</t>
  </si>
  <si>
    <t>Операции с собственниками всего (сумма строк с 710 по 718)</t>
  </si>
  <si>
    <t>Вознаграждения работников акциями</t>
  </si>
  <si>
    <t>Выпуск долевых инструментов, связанный с объединением бизнеса</t>
  </si>
  <si>
    <t>(подпись)</t>
  </si>
  <si>
    <t>МП</t>
  </si>
  <si>
    <t xml:space="preserve"> в тыс.тенге</t>
  </si>
  <si>
    <t>ТОО "БЕККЕР  И  К"</t>
  </si>
  <si>
    <t>1420</t>
  </si>
  <si>
    <t>3360</t>
  </si>
  <si>
    <t>7110</t>
  </si>
  <si>
    <t>7210</t>
  </si>
  <si>
    <t>3350</t>
  </si>
  <si>
    <t>3397</t>
  </si>
  <si>
    <t>1010</t>
  </si>
  <si>
    <t>1030</t>
  </si>
  <si>
    <t>1310</t>
  </si>
  <si>
    <t>1330</t>
  </si>
  <si>
    <t>3310</t>
  </si>
  <si>
    <t>3540</t>
  </si>
  <si>
    <t>8410</t>
  </si>
  <si>
    <t>Дт</t>
  </si>
  <si>
    <t>Кт</t>
  </si>
  <si>
    <t>3130</t>
  </si>
  <si>
    <t>6010</t>
  </si>
  <si>
    <t>6260</t>
  </si>
  <si>
    <t>6280</t>
  </si>
  <si>
    <t>,</t>
  </si>
  <si>
    <t>Сальдо на начало периода</t>
  </si>
  <si>
    <t>Сальдо на конец периода (строка 100 + строка 200 + строка 300)</t>
  </si>
  <si>
    <t>Сальдо на конец сопоставимого периода прошлого года (строка 500 + строка 600 + строка 700)</t>
  </si>
  <si>
    <t>Сальдо на начало сопоставимого периода прошлого года (строка 100 + строка 200 + строка 300)</t>
  </si>
  <si>
    <t>Организация</t>
  </si>
  <si>
    <t>Сумма</t>
  </si>
  <si>
    <t>Счет затрат</t>
  </si>
  <si>
    <t>Статья затрат</t>
  </si>
  <si>
    <t>Списание вспомогательных материалов</t>
  </si>
  <si>
    <t>Списание инвентаря</t>
  </si>
  <si>
    <t>Настройка и наладка ПО</t>
  </si>
  <si>
    <t>Себестоимость реализованной готовой продукции</t>
  </si>
  <si>
    <t>Себестоимость реализованных сырья и материалов</t>
  </si>
  <si>
    <t>Абонентская плата за телефон</t>
  </si>
  <si>
    <t>Вентеляция</t>
  </si>
  <si>
    <t>Вулканизация</t>
  </si>
  <si>
    <t>Вывоз ТБО</t>
  </si>
  <si>
    <t>Горюче-смазочные материалы</t>
  </si>
  <si>
    <t>Горячая вода</t>
  </si>
  <si>
    <t>Дегустация продукции</t>
  </si>
  <si>
    <t>Диагностика автотранспорта</t>
  </si>
  <si>
    <t>Заработная плата</t>
  </si>
  <si>
    <t>Износ инвентаря  (физический)</t>
  </si>
  <si>
    <t>Износ основных средств</t>
  </si>
  <si>
    <t>Исследование продукции</t>
  </si>
  <si>
    <t>Канализация</t>
  </si>
  <si>
    <t>Канцелярские товары</t>
  </si>
  <si>
    <t>Комиссии и сборы регистратора ЦБ</t>
  </si>
  <si>
    <t>Мойка автотранспорта</t>
  </si>
  <si>
    <t>Моющие средства</t>
  </si>
  <si>
    <t>Охрана объекта</t>
  </si>
  <si>
    <t>Прочее техническое обслуживание автотранспорта</t>
  </si>
  <si>
    <t>Прочие коммунальные услуги</t>
  </si>
  <si>
    <t>Расходы на наем жилого помещения</t>
  </si>
  <si>
    <t>Ремонт автотранспорта</t>
  </si>
  <si>
    <t>Ремонт зданий и сооружений</t>
  </si>
  <si>
    <t>Ремонт оборудования</t>
  </si>
  <si>
    <t>Содержание автотранспорта</t>
  </si>
  <si>
    <t>Содержание зданий и сооружений</t>
  </si>
  <si>
    <t>Содержание оборудования</t>
  </si>
  <si>
    <t>Социальные отчисления</t>
  </si>
  <si>
    <t>Социальный налог</t>
  </si>
  <si>
    <t>Страхование автомашин</t>
  </si>
  <si>
    <t>Суточные в пределах РК</t>
  </si>
  <si>
    <t>Тепловая энергия</t>
  </si>
  <si>
    <t>Техосмотр автотранспорта</t>
  </si>
  <si>
    <t>Транспортные услуги</t>
  </si>
  <si>
    <t>Хозяйственные материалы</t>
  </si>
  <si>
    <t>Холодная вода</t>
  </si>
  <si>
    <t>Электроэнергия</t>
  </si>
  <si>
    <t>Авиаперелет в переделах РК</t>
  </si>
  <si>
    <t>Авиаперелет международный</t>
  </si>
  <si>
    <t>Амортизация лицензий</t>
  </si>
  <si>
    <t>Аренда автотранспорта</t>
  </si>
  <si>
    <t>Аутсорсинг</t>
  </si>
  <si>
    <t>Гос.пошлина</t>
  </si>
  <si>
    <t>Дезинфекция и дезинсекция помещений</t>
  </si>
  <si>
    <t>Дератизация помещения</t>
  </si>
  <si>
    <t>Ж/д проезд в пределах РК</t>
  </si>
  <si>
    <t>Затраты связанные с ж/д перевозкой</t>
  </si>
  <si>
    <t>Затраты, не подлежащие вычету</t>
  </si>
  <si>
    <t>Защита интелектуальной собственности</t>
  </si>
  <si>
    <t>Земельный налог</t>
  </si>
  <si>
    <t>Иccледование сырья</t>
  </si>
  <si>
    <t>Изготовление (ликвидация) печати, штампов</t>
  </si>
  <si>
    <t>Изготовление деталей, запчастей и пр.</t>
  </si>
  <si>
    <t>Износ нематериальных активов</t>
  </si>
  <si>
    <t>Интернет</t>
  </si>
  <si>
    <t>Исследования по экологии</t>
  </si>
  <si>
    <t>Исследования продукции</t>
  </si>
  <si>
    <t>Комиссии и сборы фондовой биржы</t>
  </si>
  <si>
    <t>Комиссия банка</t>
  </si>
  <si>
    <t>Комиссия за ведение счета</t>
  </si>
  <si>
    <t>Комиссия за зачисление зарплаты</t>
  </si>
  <si>
    <t>Комиссия за международный перевод денежных средств</t>
  </si>
  <si>
    <t>Комиссия за перевод денежных средств</t>
  </si>
  <si>
    <t>Комиссия за предоставление транша (овердрафт)</t>
  </si>
  <si>
    <t>Комиссия за расчетно-кассовое обслуживание</t>
  </si>
  <si>
    <t>Комиссия за расчётно-кассовое обслуживание</t>
  </si>
  <si>
    <t>Консультационные услуги</t>
  </si>
  <si>
    <t>Медикаменты</t>
  </si>
  <si>
    <t>Медицинский осмотр</t>
  </si>
  <si>
    <t>Междугородние переговоры</t>
  </si>
  <si>
    <t>Методическое обеспечение</t>
  </si>
  <si>
    <t>Налог на добычу полезных ископаемых</t>
  </si>
  <si>
    <t>Налог на имущество</t>
  </si>
  <si>
    <t>Налог на транспорт</t>
  </si>
  <si>
    <t>Нотариальные услуги</t>
  </si>
  <si>
    <t>Обеспечение правовой информацией</t>
  </si>
  <si>
    <t>Обучение персонала</t>
  </si>
  <si>
    <t>Охрана труда</t>
  </si>
  <si>
    <t>Пеня за нарушения сроков оплаты по траншам</t>
  </si>
  <si>
    <t>Перевод текстов</t>
  </si>
  <si>
    <t>Плата за пользование земельными участками</t>
  </si>
  <si>
    <t>Плата за размещение наружной рекламы</t>
  </si>
  <si>
    <t>Плата за эмиссию в окружающую среду</t>
  </si>
  <si>
    <t>Поверка и калиброка оборудования</t>
  </si>
  <si>
    <t>Поддержка веб-сайта</t>
  </si>
  <si>
    <t>Подписка</t>
  </si>
  <si>
    <t>Прочие банковские услуги</t>
  </si>
  <si>
    <t>Прочие налоги и обязательные платежи в бюджет</t>
  </si>
  <si>
    <t>Прочие расходы по качеству</t>
  </si>
  <si>
    <t>Прочие сборы</t>
  </si>
  <si>
    <t>Прочие телекоммуникационные услуги</t>
  </si>
  <si>
    <t>Расходы на содержание канализации</t>
  </si>
  <si>
    <t>Расходы по выбытию оборудования</t>
  </si>
  <si>
    <t>Расходы по номинальному держанию выпущенных в обращение ЦБ</t>
  </si>
  <si>
    <t>Расходы по номинальному держанию приобретенных ЦБ</t>
  </si>
  <si>
    <t>Расходы по оформлению ВИЗЫ</t>
  </si>
  <si>
    <t>Реклама в газету, журнал и пр.</t>
  </si>
  <si>
    <t>Ремонт оргтехники</t>
  </si>
  <si>
    <t>Сервисное обслуживание</t>
  </si>
  <si>
    <t>Сервисное обслуживание оргтехники</t>
  </si>
  <si>
    <t>Сервисное обслуживание системы пожарной сигнализации</t>
  </si>
  <si>
    <t>Сертификация</t>
  </si>
  <si>
    <t>Сотовая связь</t>
  </si>
  <si>
    <t>Стоянка и парковка автотранспорта</t>
  </si>
  <si>
    <t>Страхование имущества от ущерба</t>
  </si>
  <si>
    <t>Страхование персонала</t>
  </si>
  <si>
    <t>Суточные за пределами РК</t>
  </si>
  <si>
    <t>Услуги автотехники</t>
  </si>
  <si>
    <t>Услуги почты</t>
  </si>
  <si>
    <t>Услуги связанные с международной перевозкой</t>
  </si>
  <si>
    <t>Утилизация конфискатов</t>
  </si>
  <si>
    <t>Утилизация ртутосодержащих ламп</t>
  </si>
  <si>
    <t>Финансовый аудит</t>
  </si>
  <si>
    <t>Хранение сырья</t>
  </si>
  <si>
    <t>Штрафы, пени в бюджет</t>
  </si>
  <si>
    <t>Штрафы, пени по хоз.договорам и внебюджетные фонды</t>
  </si>
  <si>
    <t>Юридические услуги</t>
  </si>
  <si>
    <t>Благотворительность в виде готовой продукции</t>
  </si>
  <si>
    <t>Подарки персоналу</t>
  </si>
  <si>
    <t>Порча, потери ТМЗ</t>
  </si>
  <si>
    <t>Членские взносы</t>
  </si>
  <si>
    <t>Вознаграждения по полученным займам</t>
  </si>
  <si>
    <t>Расходы, связанные с выпланой вознаграждения по ценными бумагами, выпущенным в обращение</t>
  </si>
  <si>
    <t>Курсовые разницы</t>
  </si>
  <si>
    <t>Курсовые разницы за счет прибыли</t>
  </si>
  <si>
    <t>Расходы от купли продажи Ценных бумаг</t>
  </si>
  <si>
    <t>Расходы при обмене валюты</t>
  </si>
  <si>
    <t>Расход по налогу на прибыль</t>
  </si>
  <si>
    <t>Материальные затраты</t>
  </si>
  <si>
    <t>Аренда помещений</t>
  </si>
  <si>
    <t>Исследование оборудования</t>
  </si>
  <si>
    <t>Модернизация зданий</t>
  </si>
  <si>
    <t>Машины, оборудование и трансп.средства</t>
  </si>
  <si>
    <t>на 1 января 2013</t>
  </si>
  <si>
    <t>поступление</t>
  </si>
  <si>
    <t>выбытие</t>
  </si>
  <si>
    <t>на 30 сентября 2013</t>
  </si>
  <si>
    <t>начисленный износ</t>
  </si>
  <si>
    <t>Общая</t>
  </si>
  <si>
    <t xml:space="preserve"> на 31 декабря  2013 БК</t>
  </si>
  <si>
    <t xml:space="preserve"> на 31 декабря 2013 НД</t>
  </si>
  <si>
    <t xml:space="preserve"> на 31 декабря 2013 БИ</t>
  </si>
  <si>
    <t>Коррек. БК 2013.</t>
  </si>
  <si>
    <t>Коррек. НД 2013.</t>
  </si>
  <si>
    <t xml:space="preserve">Коррек. БИ  2013 </t>
  </si>
  <si>
    <t xml:space="preserve"> на 31 декабря 2013 г. </t>
  </si>
  <si>
    <t>за период закончившийся  31 декабря 2013 года</t>
  </si>
  <si>
    <t xml:space="preserve"> на 31 декабря  2012 БК</t>
  </si>
  <si>
    <t xml:space="preserve"> на 31 декабря 2012 НД</t>
  </si>
  <si>
    <t xml:space="preserve"> на 31 декабря 2012 БИ</t>
  </si>
  <si>
    <t>Коррек. БК 2012.</t>
  </si>
  <si>
    <t>Коррек. НД 2012.</t>
  </si>
  <si>
    <t xml:space="preserve">Коррек. БИ  2012 </t>
  </si>
  <si>
    <t>Авансы выданные</t>
  </si>
  <si>
    <t>Краткосрочные аванчы полученные</t>
  </si>
  <si>
    <t>за период закончившийся  31 декабря 2013г</t>
  </si>
  <si>
    <t xml:space="preserve"> за 2012 г. БК</t>
  </si>
  <si>
    <t>за 2012 г. НД</t>
  </si>
  <si>
    <t>погашение займов,предоставленных другим организациям</t>
  </si>
  <si>
    <t>предоставление займов  другим организациям</t>
  </si>
  <si>
    <t xml:space="preserve"> по состоянию на 31 декабря 2012 года</t>
  </si>
  <si>
    <t xml:space="preserve">Сальдо на 30 сентября 2012 г. </t>
  </si>
  <si>
    <t>Сальдо на 1 января 2011 г.</t>
  </si>
  <si>
    <t xml:space="preserve">Сальдо на 30 сентября 2011 г. </t>
  </si>
  <si>
    <t xml:space="preserve">Сальдо на 31 декабря 2012 г. </t>
  </si>
  <si>
    <t>Руководитель</t>
  </si>
  <si>
    <t>Абдикадирова А.А.</t>
  </si>
  <si>
    <t>(фамилия, имя, отчество)</t>
  </si>
  <si>
    <t>Главный бухгалтер</t>
  </si>
  <si>
    <t>Бельфер Е.А.</t>
  </si>
  <si>
    <t>Остаток на начало</t>
  </si>
  <si>
    <t>Оборот</t>
  </si>
  <si>
    <t>Остаток на конец</t>
  </si>
  <si>
    <t>Счет</t>
  </si>
  <si>
    <t>Дебет</t>
  </si>
  <si>
    <t>Кредит</t>
  </si>
  <si>
    <t>Субконто1</t>
  </si>
  <si>
    <t>Алматы Пауэр Консолидэйтед (Алатау Жарык Компания)</t>
  </si>
  <si>
    <t>Амандаева Каракоз Нурыллановна</t>
  </si>
  <si>
    <t>Бердбаев Азамат Тимергалыұлы</t>
  </si>
  <si>
    <t>Бобрик Руслан Валерьевич</t>
  </si>
  <si>
    <t>Волошина Ирина Васильевна</t>
  </si>
  <si>
    <t>ВТС-Вторсырье ТОО</t>
  </si>
  <si>
    <t>Глушаков Александр</t>
  </si>
  <si>
    <t>Немецкий Двор ТОО</t>
  </si>
  <si>
    <t>Отарбаев Айбол Абдукапарұлы</t>
  </si>
  <si>
    <t>Самохвалов Е</t>
  </si>
  <si>
    <t>Сермухамедов Султан Еркинович</t>
  </si>
  <si>
    <t>Якуби Ирина Сергеевна</t>
  </si>
  <si>
    <t>Немецкий Двор ТОО Супермаркет Достык</t>
  </si>
  <si>
    <t>Немецкий Двор ТОО Супермаркет Розыбакиева</t>
  </si>
  <si>
    <t>Немецкий Двор ТОО. Ресторан Пруссия</t>
  </si>
  <si>
    <t>Бельфер Елена Анатольевна</t>
  </si>
  <si>
    <t>Веселов Игорь Владимирович</t>
  </si>
  <si>
    <t>Дуболазова Елена Васильевна</t>
  </si>
  <si>
    <t>Итекбаев Кайрат Жаирбекович</t>
  </si>
  <si>
    <t>Логунов Вячеслав Степанович</t>
  </si>
  <si>
    <t>Попов Евгений Александрович</t>
  </si>
  <si>
    <t>Абдусатаров Рзайден Джамалдинович</t>
  </si>
  <si>
    <t>Демидова Любовь Николаевна</t>
  </si>
  <si>
    <t>Еркасымова Карина Кайсарболатовна</t>
  </si>
  <si>
    <t>Немецкий Двор ТОО Склад готовой продукции</t>
  </si>
  <si>
    <t>Немецкий Двор ТОО Супермаркет Аксай 3</t>
  </si>
  <si>
    <t>Немецкий Двор ТОО Супермаркет Орбита</t>
  </si>
  <si>
    <t>Немецкий Двор ТОО ФТТ №10</t>
  </si>
  <si>
    <t>Немецкий Двор ТОО ФТТ №20</t>
  </si>
  <si>
    <t>Немецкий Двор ТОО ФТТ №39</t>
  </si>
  <si>
    <t>Немецкий Двор ТОО. Склад готовой продукции КЛ</t>
  </si>
  <si>
    <t>Kagazy Recycling ТОО</t>
  </si>
  <si>
    <t>Mavanti Holding (Маванти Холдинг)ТОО</t>
  </si>
  <si>
    <t>SMBC (СМБС) ТОО</t>
  </si>
  <si>
    <t>Абаев Ермек Мантайулы</t>
  </si>
  <si>
    <t>Абилов Гафур Мадахметович</t>
  </si>
  <si>
    <t>Аймаханов Н.Н</t>
  </si>
  <si>
    <t>Арипов Туйгун Шухратович</t>
  </si>
  <si>
    <t>Беккер Инвест ТОО</t>
  </si>
  <si>
    <t>Данахунов Тимур</t>
  </si>
  <si>
    <t>Даулбаев Арман Сулейманович</t>
  </si>
  <si>
    <t>Доронина Светлана Анатольевна</t>
  </si>
  <si>
    <t>Жорға секьюрити ТОО</t>
  </si>
  <si>
    <t>Искаков Ж М</t>
  </si>
  <si>
    <t>Кадукова Анастасия Васильевна</t>
  </si>
  <si>
    <t>Кашапова Нелли Абдугалиевна</t>
  </si>
  <si>
    <t>Кожанова Динара</t>
  </si>
  <si>
    <t>Кожикенов С.</t>
  </si>
  <si>
    <t>Койчибеков Бекжан Бакбергенович</t>
  </si>
  <si>
    <t>Континент ИФГ АО</t>
  </si>
  <si>
    <t>Континент Капитал ТОО</t>
  </si>
  <si>
    <t>Маманов Болатбек Б</t>
  </si>
  <si>
    <t>Мирханов Батыр</t>
  </si>
  <si>
    <t>Мишанов Анатолий Леонидович</t>
  </si>
  <si>
    <t>Мустафаев И.У.</t>
  </si>
  <si>
    <t>Новиков Кирилл</t>
  </si>
  <si>
    <t>Нурумбетов Бейбут Серикович</t>
  </si>
  <si>
    <t>Оргсервис ТОО</t>
  </si>
  <si>
    <t>Пак В.</t>
  </si>
  <si>
    <t>Персонал Беккер и К</t>
  </si>
  <si>
    <t>Скиф Сауда ТОО</t>
  </si>
  <si>
    <t>Смирнов Максим Николаевич</t>
  </si>
  <si>
    <t>Столярова Людмила Сергеевна</t>
  </si>
  <si>
    <t>Тирменов Кайрат</t>
  </si>
  <si>
    <t>Тургумбаев Куаныш Адильханович</t>
  </si>
  <si>
    <t>Турсунов И.</t>
  </si>
  <si>
    <t>Филиал Немецкий Двор г. Астана ТОО</t>
  </si>
  <si>
    <t>Алферов Егор Викторович</t>
  </si>
  <si>
    <t>Водопьянов Андрей Александрович</t>
  </si>
  <si>
    <t>Изтелеуов Аскар Талгатович</t>
  </si>
  <si>
    <t>Калиева Насима Махмутовна</t>
  </si>
  <si>
    <t>Кананбаев Куат Касымгалиевич</t>
  </si>
  <si>
    <t>Сембаев Жанат Аманбекович</t>
  </si>
  <si>
    <t>Юсупов Арсен Маратович</t>
  </si>
  <si>
    <t>Жигозиева Бейбиткуль Елакыновна</t>
  </si>
  <si>
    <t>Попова Сусанханум Шайисмоиловна</t>
  </si>
  <si>
    <t>Субыканов Бауыржан Нурлыбекович</t>
  </si>
  <si>
    <t>EASY PAY ИП Усоян Эмилия Руслановна</t>
  </si>
  <si>
    <t xml:space="preserve"> на 31 декабря 2013 НД Астана</t>
  </si>
  <si>
    <t>Неоплаченый капитал</t>
  </si>
  <si>
    <t xml:space="preserve"> корректир. 2013 НД Астана</t>
  </si>
  <si>
    <t xml:space="preserve">Финансовые доходы  </t>
  </si>
  <si>
    <t>Доходы по финансированию</t>
  </si>
  <si>
    <t>Обязательства по вознаграждениям работников (резерв отпусков)</t>
  </si>
  <si>
    <t xml:space="preserve">Сальдо на 31 декабря 2013 г. </t>
  </si>
  <si>
    <t xml:space="preserve">Сальдо на 31 декабря 2012г. </t>
  </si>
  <si>
    <t>Изменение в учетной политеке</t>
  </si>
  <si>
    <t>Дисконтирование займа</t>
  </si>
  <si>
    <t>Начисленный резерв отпусков</t>
  </si>
  <si>
    <t>Переоценка финансовых активов, имеющихся в наличии для продажи (за минусом налогового эффекта)</t>
  </si>
  <si>
    <t>Обязательство по вознаграждению работников (резерв отпусков)</t>
  </si>
  <si>
    <t>Нач.Остаток Дт</t>
  </si>
  <si>
    <t>Нач.Остаток Кт</t>
  </si>
  <si>
    <t>Оборот Дт</t>
  </si>
  <si>
    <t>Оборот Кт</t>
  </si>
  <si>
    <t>Кон.Остаток Дт</t>
  </si>
  <si>
    <t>Кон.Остаток Кт</t>
  </si>
  <si>
    <t>Немецкий Двор ТОО Супермаркет Центральный</t>
  </si>
  <si>
    <t>Немецкий Двор ТОО Супермаркет Жибек  Жолы</t>
  </si>
  <si>
    <t>Немецкий Двор ТОО Супермаркет на "Аскарова"</t>
  </si>
  <si>
    <t>Немецкий Двор ТОО Супермаркет Ремизовка</t>
  </si>
  <si>
    <t>Обороты за период</t>
  </si>
  <si>
    <t>Сальдо на конец периода</t>
  </si>
  <si>
    <t>Товарищество с ограниченной ответственностью Немецкий Двор; Филиал ТОО Немецкий двор в г.Астана</t>
  </si>
  <si>
    <t>Анализ субконто</t>
  </si>
  <si>
    <t>Период: 2012 г.</t>
  </si>
  <si>
    <t>Виды субконто: Контрагенты</t>
  </si>
  <si>
    <t>Выводимые данные: сумма</t>
  </si>
  <si>
    <t>Отбор: Контрагенты = Беккер и К   ТОО</t>
  </si>
  <si>
    <t>Субконто</t>
  </si>
  <si>
    <t>Беккер и К   ТОО</t>
  </si>
  <si>
    <t>1220</t>
  </si>
  <si>
    <t>1260</t>
  </si>
  <si>
    <t>1284</t>
  </si>
  <si>
    <t>3050</t>
  </si>
  <si>
    <t>3320</t>
  </si>
  <si>
    <t>3380</t>
  </si>
  <si>
    <t>5030</t>
  </si>
  <si>
    <t>5110</t>
  </si>
  <si>
    <t>7310</t>
  </si>
  <si>
    <t>Итого:</t>
  </si>
  <si>
    <t>7310 Расход ро вознаграж</t>
  </si>
  <si>
    <t>Отложенное налоговое обязательства</t>
  </si>
  <si>
    <t>Финансовые расходы (дисконтирование займа)</t>
  </si>
  <si>
    <t xml:space="preserve">Сальдо на 31 декабря  2012 г. </t>
  </si>
  <si>
    <t>Переоценка финансовых активов имеющихся для продажи</t>
  </si>
  <si>
    <t>Дисконтирование выданного займа</t>
  </si>
  <si>
    <t>Обязательства по вознаграждеиям работников</t>
  </si>
  <si>
    <t>тыс.тенге</t>
  </si>
  <si>
    <t>Код</t>
  </si>
  <si>
    <t>012</t>
  </si>
  <si>
    <t>013</t>
  </si>
  <si>
    <t>014</t>
  </si>
  <si>
    <t>015</t>
  </si>
  <si>
    <t>016</t>
  </si>
  <si>
    <t>017</t>
  </si>
  <si>
    <t>018</t>
  </si>
  <si>
    <t>031</t>
  </si>
  <si>
    <t>032</t>
  </si>
  <si>
    <t>033</t>
  </si>
  <si>
    <t>034</t>
  </si>
  <si>
    <t>035</t>
  </si>
  <si>
    <t>036</t>
  </si>
  <si>
    <t xml:space="preserve">  ОТЧЕТ ОБ ИЗМЕНЕНИЯХ В КАПИТАЛЕ</t>
  </si>
  <si>
    <t xml:space="preserve">    КОНСОЛИДИРОВАННЫЙ ОТЧЕТ О ФИНАНСОВОМ ПОЛОЖЕНИИ  </t>
  </si>
  <si>
    <t xml:space="preserve">   КОНСОЛИДИРОВАННЫЙ  ОТЧЕТ О СОВОКУПНОМ ДОХОДЕ</t>
  </si>
  <si>
    <t xml:space="preserve">  КОНСОЛИДИРОВАННЫЙ ОТЧЕТ О ДВИЖЕНИИ ДЕНЕЖНЫХ СРЕДСТВ                                                                                                   (прямой метод)</t>
  </si>
  <si>
    <t>на 31 декабря   2013 г.</t>
  </si>
  <si>
    <t>Коррек. БК  1 кв 2014г</t>
  </si>
  <si>
    <t>Прибыль (убыток) за  период  от  продолжаемой деятельности (стр. 030+стр. 040+стр.041+стр. 050+стр.060 + стр. 070 +стр.080 + стр. 090+/- стр. 100)</t>
  </si>
  <si>
    <t>Прибыль (убыток) до налогообложения  (стр.120+/-стр. 130)</t>
  </si>
  <si>
    <t>Чистая прибыль (убыток) за период (стр. 140-стр. 150-стр.160-стр. 170) до вычета доли меньшинства</t>
  </si>
  <si>
    <t>Итоговая прибыль (итоговый убыток) за период (стр. 180-стр. 190-стр.200-стр.201-стр.202-стр.203)</t>
  </si>
  <si>
    <t>Коррек. БК 2014.</t>
  </si>
  <si>
    <t>Коррек. НД 2014.</t>
  </si>
  <si>
    <t xml:space="preserve"> за 1 кв  2014 БК</t>
  </si>
  <si>
    <t xml:space="preserve"> за 1кв 2014 НД</t>
  </si>
  <si>
    <t>за 4 кв 2013 НД</t>
  </si>
  <si>
    <t>за 4 кв 2013 БК</t>
  </si>
  <si>
    <t>Алматы 2014</t>
  </si>
  <si>
    <t>ТОО "Беккер Инвест" Приказом № 599 от 27 февраля 2014 года Министерства Юстиции РК прекратил деятельность товарищества.</t>
  </si>
  <si>
    <t>Торговая кредиторская задолженность ( код стр 213)</t>
  </si>
  <si>
    <t>Финансовый директор                                                                                                       Куницина Л.А.</t>
  </si>
  <si>
    <t>Финансовый директор    ___________________     Куницина Л.А.</t>
  </si>
  <si>
    <t>(согласно финансовой отчетности  код строки 19)</t>
  </si>
  <si>
    <t>Обязательства по выплатам работникам (код стр 217)</t>
  </si>
  <si>
    <t xml:space="preserve">Прочие краткосрочные обязательство (код стр 218) </t>
  </si>
  <si>
    <t>Прочие налоги к уплате(код стр 218)</t>
  </si>
  <si>
    <t>Краткосрочные авансы полученные (код стр 214)</t>
  </si>
  <si>
    <t>Главный бухгалтер  _____________________   Бельфер Е.А.</t>
  </si>
  <si>
    <t>на 31 декабря 2013г.</t>
  </si>
  <si>
    <t xml:space="preserve"> на 30 июня 2014 г. </t>
  </si>
  <si>
    <t xml:space="preserve"> на отчетную дату  2014 БК</t>
  </si>
  <si>
    <t xml:space="preserve"> на отчетную дату 2014 НД</t>
  </si>
  <si>
    <t xml:space="preserve"> на отчетную дату 2014 НД Астана</t>
  </si>
  <si>
    <t xml:space="preserve"> корректир. 2014 НД Астана</t>
  </si>
  <si>
    <t>Коррек. НД  1 кв 2014г</t>
  </si>
  <si>
    <t>за 1 полугодие 2014 г. БК</t>
  </si>
  <si>
    <t>за 1 полугодие 2014 г. НД</t>
  </si>
  <si>
    <t xml:space="preserve"> за 1 полугодие  2014 БК</t>
  </si>
  <si>
    <t xml:space="preserve"> за 1 полугодие 2014 НД</t>
  </si>
  <si>
    <t>Немецкий Двор ТОО Супермаркет  "Баганашыл"</t>
  </si>
  <si>
    <t xml:space="preserve">Немецкий Двор ТОО Супермаркет  на "Гоголя" </t>
  </si>
  <si>
    <t>Немецкий Двор ТОО Супермаркет Ауэзова</t>
  </si>
  <si>
    <t>Немецкий Двор ТОО Супермаркет на Виноградова</t>
  </si>
  <si>
    <t>Немецкий Двор ТОО Супермаркет Шаляпина</t>
  </si>
  <si>
    <t>за период закончившийся  30 июня 2014 года</t>
  </si>
  <si>
    <t xml:space="preserve">                                                                </t>
  </si>
  <si>
    <t xml:space="preserve"> за 1 полугодие оканчивающиеся  30 июня 2014  года.</t>
  </si>
  <si>
    <t>30 июня 2014г.</t>
  </si>
  <si>
    <t>30 июня 2013г.</t>
  </si>
  <si>
    <t>за 1 полугодие 2014г</t>
  </si>
  <si>
    <t>за 1 полугодие 2013г</t>
  </si>
  <si>
    <t>на 30 июня 2014г.</t>
  </si>
  <si>
    <r>
      <t xml:space="preserve">Провизии включают не выплаченные суммы по отпускам работников (код стр. 215)  </t>
    </r>
    <r>
      <rPr>
        <sz val="10"/>
        <rFont val="Times New Roman"/>
        <family val="1"/>
      </rPr>
      <t>40 610</t>
    </r>
    <r>
      <rPr>
        <sz val="10"/>
        <color indexed="8"/>
        <rFont val="Times New Roman"/>
        <family val="1"/>
      </rPr>
      <t xml:space="preserve"> тыс. тенге.</t>
    </r>
  </si>
  <si>
    <t>Перевод в инвестиционное имущество</t>
  </si>
  <si>
    <t>Замена тех.паспорта</t>
  </si>
  <si>
    <t>Печать документов, листовок, буклетов</t>
  </si>
  <si>
    <t>Порча готовой продукции</t>
  </si>
  <si>
    <t>Постановка на учет автотранспорта</t>
  </si>
  <si>
    <t>Проектные работы</t>
  </si>
  <si>
    <t>Ремонт сотовых телефонов</t>
  </si>
  <si>
    <t>Спонсорская помощь</t>
  </si>
  <si>
    <t>Услуги архива</t>
  </si>
  <si>
    <t>На 31 декабря 2013 года</t>
  </si>
  <si>
    <t>На 30 июня 2014 года</t>
  </si>
  <si>
    <t>за период закончившийся  30 июня 2014г</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</si>
</sst>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_(* \(#,##0\);_(* &quot;-&quot;_);_(@_)"/>
    <numFmt numFmtId="165" formatCode="_-* #,##0_р_._-;\-* #,##0_р_._-;_-* &quot;-&quot;??_р_._-;_-@_-"/>
    <numFmt numFmtId="166" formatCode="0.00;[Red]\-0.00"/>
    <numFmt numFmtId="167" formatCode="0;[Red]\-0"/>
    <numFmt numFmtId="168" formatCode="0.0;[Red]\-0.0"/>
    <numFmt numFmtId="169" formatCode="0.00_ ;[Red]\-0.00\ "/>
    <numFmt numFmtId="170" formatCode="#,##0.00_ ;[Red]\-#,##0.00\ "/>
    <numFmt numFmtId="171" formatCode="0.0"/>
    <numFmt numFmtId="172" formatCode="_(* #,##0_);_(* \(#,##0\);_(* &quot;-&quot;??_);_(@_)"/>
  </numFmts>
  <fonts count="142">
    <font>
      <sz val="11"/>
      <color theme="1"/>
      <name val="Calibri"/>
      <family val="2"/>
    </font>
    <font>
      <sz val="11"/>
      <color indexed="8"/>
      <name val="Calibri"/>
      <family val="2"/>
    </font>
    <font>
      <sz val="8"/>
      <name val="Arial"/>
      <family val="2"/>
    </font>
    <font>
      <sz val="10"/>
      <name val="Arial Cyr"/>
      <family val="0"/>
    </font>
    <font>
      <b/>
      <sz val="11"/>
      <name val="Times New Roman"/>
      <family val="1"/>
    </font>
    <font>
      <b/>
      <sz val="10"/>
      <name val="Times New Roman"/>
      <family val="1"/>
    </font>
    <font>
      <sz val="10"/>
      <name val="Times New Roman"/>
      <family val="1"/>
    </font>
    <font>
      <b/>
      <sz val="14"/>
      <name val="Times New Roman"/>
      <family val="1"/>
    </font>
    <font>
      <sz val="8"/>
      <name val="Times New Roman"/>
      <family val="1"/>
    </font>
    <font>
      <sz val="9.5"/>
      <name val="Times New Roman"/>
      <family val="1"/>
    </font>
    <font>
      <b/>
      <sz val="9.5"/>
      <name val="Times New Roman"/>
      <family val="1"/>
    </font>
    <font>
      <sz val="11"/>
      <name val="Times New Roman"/>
      <family val="1"/>
    </font>
    <font>
      <sz val="11"/>
      <color indexed="62"/>
      <name val="Times New Roman"/>
      <family val="1"/>
    </font>
    <font>
      <b/>
      <sz val="11"/>
      <color indexed="62"/>
      <name val="Times New Roman"/>
      <family val="1"/>
    </font>
    <font>
      <b/>
      <u val="single"/>
      <sz val="11"/>
      <color indexed="62"/>
      <name val="Times New Roman"/>
      <family val="1"/>
    </font>
    <font>
      <b/>
      <sz val="12"/>
      <name val="Times New Roman"/>
      <family val="1"/>
    </font>
    <font>
      <sz val="10"/>
      <color indexed="19"/>
      <name val="Times New Roman"/>
      <family val="1"/>
    </font>
    <font>
      <sz val="10"/>
      <color indexed="8"/>
      <name val="Times New Roman"/>
      <family val="1"/>
    </font>
    <font>
      <b/>
      <sz val="7"/>
      <name val="Times New Roman"/>
      <family val="1"/>
    </font>
    <font>
      <b/>
      <sz val="11"/>
      <color indexed="8"/>
      <name val="Times New Roman"/>
      <family val="1"/>
    </font>
    <font>
      <sz val="9"/>
      <color indexed="8"/>
      <name val="Times New Roman"/>
      <family val="1"/>
    </font>
    <font>
      <sz val="11"/>
      <color indexed="8"/>
      <name val="Times New Roman"/>
      <family val="1"/>
    </font>
    <font>
      <b/>
      <sz val="9"/>
      <color indexed="8"/>
      <name val="Times New Roman"/>
      <family val="1"/>
    </font>
    <font>
      <sz val="9"/>
      <name val="Times New Roman"/>
      <family val="1"/>
    </font>
    <font>
      <b/>
      <sz val="9"/>
      <name val="Times New Roman"/>
      <family val="1"/>
    </font>
    <font>
      <sz val="9"/>
      <name val="Arial"/>
      <family val="2"/>
    </font>
    <font>
      <b/>
      <sz val="10"/>
      <color indexed="21"/>
      <name val="Arial"/>
      <family val="2"/>
    </font>
    <font>
      <b/>
      <sz val="8"/>
      <color indexed="21"/>
      <name val="Arial"/>
      <family val="2"/>
    </font>
    <font>
      <sz val="12"/>
      <name val="Times New Roman"/>
      <family val="1"/>
    </font>
    <font>
      <u val="single"/>
      <sz val="12"/>
      <name val="Times New Roman"/>
      <family val="1"/>
    </font>
    <font>
      <sz val="8"/>
      <color indexed="8"/>
      <name val="Arial"/>
      <family val="2"/>
    </font>
    <font>
      <sz val="8"/>
      <color indexed="10"/>
      <name val="Arial"/>
      <family val="2"/>
    </font>
    <font>
      <b/>
      <sz val="9"/>
      <name val="Arial"/>
      <family val="2"/>
    </font>
    <font>
      <b/>
      <sz val="11"/>
      <name val="Arial"/>
      <family val="2"/>
    </font>
    <font>
      <sz val="11"/>
      <color indexed="9"/>
      <name val="Calibri"/>
      <family val="2"/>
    </font>
    <font>
      <sz val="11"/>
      <color indexed="50"/>
      <name val="Calibri"/>
      <family val="2"/>
    </font>
    <font>
      <b/>
      <sz val="11"/>
      <color indexed="8"/>
      <name val="Calibri"/>
      <family val="2"/>
    </font>
    <font>
      <b/>
      <sz val="11"/>
      <color indexed="10"/>
      <name val="Calibri"/>
      <family val="2"/>
    </font>
    <font>
      <u val="single"/>
      <sz val="11"/>
      <color indexed="12"/>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sz val="18"/>
      <color indexed="45"/>
      <name val="Cambria"/>
      <family val="2"/>
    </font>
    <font>
      <sz val="11"/>
      <color indexed="18"/>
      <name val="Calibri"/>
      <family val="2"/>
    </font>
    <font>
      <u val="single"/>
      <sz val="11"/>
      <color indexed="20"/>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sz val="10"/>
      <color indexed="10"/>
      <name val="Times New Roman"/>
      <family val="1"/>
    </font>
    <font>
      <b/>
      <sz val="16"/>
      <color indexed="19"/>
      <name val="Times New Roman"/>
      <family val="1"/>
    </font>
    <font>
      <sz val="12"/>
      <color indexed="8"/>
      <name val="Times New Roman"/>
      <family val="1"/>
    </font>
    <font>
      <b/>
      <sz val="11"/>
      <color indexed="45"/>
      <name val="Times New Roman"/>
      <family val="1"/>
    </font>
    <font>
      <sz val="6"/>
      <color indexed="8"/>
      <name val="Times New Roman"/>
      <family val="1"/>
    </font>
    <font>
      <sz val="9.5"/>
      <color indexed="8"/>
      <name val="Times New Roman"/>
      <family val="1"/>
    </font>
    <font>
      <sz val="11"/>
      <color indexed="45"/>
      <name val="Times New Roman"/>
      <family val="1"/>
    </font>
    <font>
      <b/>
      <sz val="10"/>
      <color indexed="10"/>
      <name val="Times New Roman"/>
      <family val="1"/>
    </font>
    <font>
      <sz val="9"/>
      <color indexed="11"/>
      <name val="Times New Roman"/>
      <family val="1"/>
    </font>
    <font>
      <sz val="11"/>
      <name val="Calibri"/>
      <family val="2"/>
    </font>
    <font>
      <sz val="9"/>
      <color indexed="8"/>
      <name val="Arial"/>
      <family val="2"/>
    </font>
    <font>
      <sz val="8"/>
      <color indexed="8"/>
      <name val="Times New Roman"/>
      <family val="1"/>
    </font>
    <font>
      <b/>
      <sz val="9.5"/>
      <color indexed="10"/>
      <name val="Times New Roman"/>
      <family val="1"/>
    </font>
    <font>
      <b/>
      <sz val="10"/>
      <color indexed="8"/>
      <name val="Times New Roman"/>
      <family val="1"/>
    </font>
    <font>
      <b/>
      <sz val="9.5"/>
      <color indexed="8"/>
      <name val="Times New Roman"/>
      <family val="1"/>
    </font>
    <font>
      <sz val="11"/>
      <color indexed="19"/>
      <name val="Times New Roman"/>
      <family val="1"/>
    </font>
    <font>
      <b/>
      <sz val="11"/>
      <color indexed="19"/>
      <name val="Times New Roman"/>
      <family val="1"/>
    </font>
    <font>
      <b/>
      <sz val="10"/>
      <color indexed="19"/>
      <name val="Times New Roman"/>
      <family val="1"/>
    </font>
    <font>
      <b/>
      <sz val="10"/>
      <color indexed="12"/>
      <name val="Times New Roman"/>
      <family val="1"/>
    </font>
    <font>
      <sz val="10"/>
      <color indexed="8"/>
      <name val="Calibri"/>
      <family val="2"/>
    </font>
    <font>
      <sz val="10"/>
      <color indexed="11"/>
      <name val="Times New Roman"/>
      <family val="1"/>
    </font>
    <font>
      <b/>
      <sz val="10"/>
      <color indexed="45"/>
      <name val="Times New Roman"/>
      <family val="1"/>
    </font>
    <font>
      <sz val="10"/>
      <color indexed="9"/>
      <name val="Times New Roman"/>
      <family val="1"/>
    </font>
    <font>
      <sz val="10"/>
      <name val="Calibri"/>
      <family val="2"/>
    </font>
    <font>
      <b/>
      <sz val="10"/>
      <color indexed="30"/>
      <name val="Times New Roman"/>
      <family val="1"/>
    </font>
    <font>
      <sz val="9"/>
      <color indexed="10"/>
      <name val="Arial"/>
      <family val="2"/>
    </font>
    <font>
      <b/>
      <sz val="12"/>
      <color indexed="8"/>
      <name val="Times New Roman"/>
      <family val="1"/>
    </font>
    <font>
      <sz val="12"/>
      <color indexed="10"/>
      <name val="Times New Roman"/>
      <family val="1"/>
    </font>
    <font>
      <sz val="12"/>
      <color indexed="8"/>
      <name val="Calibri"/>
      <family val="2"/>
    </font>
    <font>
      <b/>
      <sz val="11"/>
      <color indexed="38"/>
      <name val="Times New Roman"/>
      <family val="1"/>
    </font>
    <font>
      <b/>
      <sz val="14"/>
      <color indexed="8"/>
      <name val="Times New Roman"/>
      <family val="1"/>
    </font>
    <font>
      <b/>
      <sz val="22"/>
      <color indexed="12"/>
      <name val="Times New Roman"/>
      <family val="1"/>
    </font>
    <font>
      <sz val="10"/>
      <color indexed="19"/>
      <name val="Symbol"/>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FF0000"/>
      <name val="Times New Roman"/>
      <family val="1"/>
    </font>
    <font>
      <b/>
      <sz val="16"/>
      <color rgb="FF000080"/>
      <name val="Times New Roman"/>
      <family val="1"/>
    </font>
    <font>
      <sz val="12"/>
      <color theme="1"/>
      <name val="Times New Roman"/>
      <family val="1"/>
    </font>
    <font>
      <b/>
      <sz val="11"/>
      <color rgb="FF244061"/>
      <name val="Times New Roman"/>
      <family val="1"/>
    </font>
    <font>
      <sz val="6"/>
      <color theme="1"/>
      <name val="Times New Roman"/>
      <family val="1"/>
    </font>
    <font>
      <sz val="9.5"/>
      <color rgb="FF000000"/>
      <name val="Times New Roman"/>
      <family val="1"/>
    </font>
    <font>
      <sz val="9"/>
      <color theme="1"/>
      <name val="Times New Roman"/>
      <family val="1"/>
    </font>
    <font>
      <sz val="11"/>
      <color rgb="FF244061"/>
      <name val="Times New Roman"/>
      <family val="1"/>
    </font>
    <font>
      <b/>
      <sz val="10"/>
      <color rgb="FFFF0000"/>
      <name val="Times New Roman"/>
      <family val="1"/>
    </font>
    <font>
      <sz val="9"/>
      <color rgb="FF00FF00"/>
      <name val="Times New Roman"/>
      <family val="1"/>
    </font>
    <font>
      <sz val="9"/>
      <color theme="1"/>
      <name val="Arial"/>
      <family val="2"/>
    </font>
    <font>
      <sz val="8"/>
      <color theme="1"/>
      <name val="Times New Roman"/>
      <family val="1"/>
    </font>
    <font>
      <b/>
      <sz val="9.5"/>
      <color rgb="FFFF0000"/>
      <name val="Times New Roman"/>
      <family val="1"/>
    </font>
    <font>
      <b/>
      <sz val="10"/>
      <color theme="1"/>
      <name val="Times New Roman"/>
      <family val="1"/>
    </font>
    <font>
      <b/>
      <sz val="9.5"/>
      <color theme="1"/>
      <name val="Times New Roman"/>
      <family val="1"/>
    </font>
    <font>
      <sz val="9.5"/>
      <color theme="1"/>
      <name val="Times New Roman"/>
      <family val="1"/>
    </font>
    <font>
      <b/>
      <sz val="11"/>
      <color theme="1"/>
      <name val="Times New Roman"/>
      <family val="1"/>
    </font>
    <font>
      <sz val="11"/>
      <color theme="1"/>
      <name val="Times New Roman"/>
      <family val="1"/>
    </font>
    <font>
      <sz val="11"/>
      <color rgb="FF002060"/>
      <name val="Times New Roman"/>
      <family val="1"/>
    </font>
    <font>
      <b/>
      <sz val="11"/>
      <color rgb="FF002060"/>
      <name val="Times New Roman"/>
      <family val="1"/>
    </font>
    <font>
      <b/>
      <sz val="10"/>
      <color rgb="FF0000B0"/>
      <name val="Times New Roman"/>
      <family val="1"/>
    </font>
    <font>
      <b/>
      <sz val="10"/>
      <color rgb="FF0033D6"/>
      <name val="Times New Roman"/>
      <family val="1"/>
    </font>
    <font>
      <sz val="10"/>
      <color theme="1"/>
      <name val="Calibri"/>
      <family val="2"/>
    </font>
    <font>
      <b/>
      <sz val="10"/>
      <color rgb="FF0000FF"/>
      <name val="Times New Roman"/>
      <family val="1"/>
    </font>
    <font>
      <sz val="10"/>
      <color rgb="FF00FF00"/>
      <name val="Times New Roman"/>
      <family val="1"/>
    </font>
    <font>
      <sz val="10"/>
      <color rgb="FF000000"/>
      <name val="Times New Roman"/>
      <family val="1"/>
    </font>
    <font>
      <b/>
      <sz val="10"/>
      <color rgb="FF244061"/>
      <name val="Times New Roman"/>
      <family val="1"/>
    </font>
    <font>
      <sz val="10"/>
      <color theme="0"/>
      <name val="Times New Roman"/>
      <family val="1"/>
    </font>
    <font>
      <b/>
      <sz val="10"/>
      <color rgb="FF0070C0"/>
      <name val="Times New Roman"/>
      <family val="1"/>
    </font>
    <font>
      <sz val="9"/>
      <color rgb="FFFF0000"/>
      <name val="Arial"/>
      <family val="2"/>
    </font>
    <font>
      <b/>
      <sz val="12"/>
      <color theme="1"/>
      <name val="Times New Roman"/>
      <family val="1"/>
    </font>
    <font>
      <sz val="12"/>
      <color rgb="FFFF0000"/>
      <name val="Times New Roman"/>
      <family val="1"/>
    </font>
    <font>
      <sz val="12"/>
      <color theme="1"/>
      <name val="Calibri"/>
      <family val="2"/>
    </font>
    <font>
      <b/>
      <sz val="9"/>
      <color theme="1"/>
      <name val="Times New Roman"/>
      <family val="1"/>
    </font>
    <font>
      <b/>
      <sz val="11"/>
      <color theme="4"/>
      <name val="Times New Roman"/>
      <family val="1"/>
    </font>
    <font>
      <sz val="9"/>
      <color rgb="FF000000"/>
      <name val="Times New Roman"/>
      <family val="1"/>
    </font>
    <font>
      <b/>
      <sz val="14"/>
      <color theme="1"/>
      <name val="Times New Roman"/>
      <family val="1"/>
    </font>
    <font>
      <sz val="10"/>
      <color rgb="FF000080"/>
      <name val="Symbol"/>
      <family val="1"/>
    </font>
    <font>
      <b/>
      <sz val="22"/>
      <color rgb="FF0000FF"/>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9CCFF"/>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2" tint="-0.24997000396251678"/>
        <bgColor indexed="64"/>
      </patternFill>
    </fill>
    <fill>
      <patternFill patternType="solid">
        <fgColor theme="3" tint="0.5999900102615356"/>
        <bgColor indexed="64"/>
      </patternFill>
    </fill>
    <fill>
      <patternFill patternType="solid">
        <fgColor theme="0" tint="-0.24997000396251678"/>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medium"/>
      <bottom/>
    </border>
    <border>
      <left/>
      <right/>
      <top/>
      <bottom style="medium"/>
    </border>
    <border>
      <left style="thin"/>
      <right style="thin"/>
      <top/>
      <bottom style="thin"/>
    </border>
    <border>
      <left/>
      <right/>
      <top/>
      <bottom style="medium">
        <color rgb="FF000000"/>
      </bottom>
    </border>
    <border>
      <left/>
      <right/>
      <top/>
      <bottom style="double"/>
    </border>
    <border>
      <left/>
      <right/>
      <top style="medium">
        <color rgb="FF000000"/>
      </top>
      <bottom style="double"/>
    </border>
    <border>
      <left/>
      <right/>
      <top style="medium">
        <color rgb="FF000000"/>
      </top>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bottom style="thin"/>
    </border>
    <border>
      <left style="thin"/>
      <right style="thin"/>
      <top style="thin"/>
      <bottom style="medium"/>
    </border>
    <border>
      <left style="thin"/>
      <right/>
      <top style="thin"/>
      <bottom style="thin"/>
    </border>
    <border>
      <left style="medium"/>
      <right style="thin"/>
      <top style="thin"/>
      <bottom style="thin"/>
    </border>
    <border>
      <left style="medium"/>
      <right/>
      <top style="thin"/>
      <bottom style="thin"/>
    </border>
    <border>
      <left style="thin"/>
      <right style="thin"/>
      <top style="thin"/>
      <bottom/>
    </border>
    <border>
      <left/>
      <right style="thin"/>
      <top style="thin"/>
      <bottom style="thin"/>
    </border>
    <border>
      <left style="thin"/>
      <right/>
      <top style="medium"/>
      <bottom style="thin"/>
    </border>
    <border>
      <left style="thin"/>
      <right/>
      <top style="thin"/>
      <bottom style="medium"/>
    </border>
    <border>
      <left/>
      <right style="thin"/>
      <top style="thin"/>
      <bottom/>
    </border>
    <border>
      <left style="thin"/>
      <right/>
      <top/>
      <bottom style="thin"/>
    </border>
    <border>
      <left style="thin"/>
      <right/>
      <top style="thin"/>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color indexed="63"/>
      </top>
      <bottom>
        <color indexed="63"/>
      </bottom>
    </border>
    <border>
      <left>
        <color indexed="63"/>
      </left>
      <right style="thin"/>
      <top>
        <color indexed="63"/>
      </top>
      <bottom>
        <color indexed="63"/>
      </bottom>
    </border>
    <border>
      <left/>
      <right style="medium"/>
      <top/>
      <bottom/>
    </border>
    <border>
      <left style="thin">
        <color indexed="60"/>
      </left>
      <right style="thin">
        <color indexed="60"/>
      </right>
      <top style="thin">
        <color indexed="60"/>
      </top>
      <bottom style="thin">
        <color indexed="60"/>
      </bottom>
    </border>
    <border>
      <left>
        <color indexed="63"/>
      </left>
      <right>
        <color indexed="63"/>
      </right>
      <top style="medium"/>
      <bottom style="thin"/>
    </border>
    <border>
      <left style="thin"/>
      <right/>
      <top style="medium"/>
      <bottom/>
    </border>
    <border>
      <left style="thin"/>
      <right/>
      <top/>
      <bottom/>
    </border>
    <border>
      <left style="thin"/>
      <right/>
      <top/>
      <bottom style="medium"/>
    </border>
    <border>
      <left/>
      <right/>
      <top/>
      <bottom style="thin"/>
    </border>
    <border>
      <left/>
      <right/>
      <top style="thin"/>
      <bottom style="thin"/>
    </border>
    <border>
      <left style="thin"/>
      <right style="medium"/>
      <top style="thin"/>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top style="medium"/>
      <bottom style="medium"/>
    </border>
    <border>
      <left style="medium"/>
      <right style="thin"/>
      <top style="medium"/>
      <bottom style="thin"/>
    </border>
    <border>
      <left style="thin">
        <color indexed="22"/>
      </left>
      <right style="thin">
        <color indexed="22"/>
      </right>
      <top>
        <color indexed="63"/>
      </top>
      <bottom style="thin">
        <color indexed="22"/>
      </bottom>
    </border>
    <border>
      <left>
        <color indexed="63"/>
      </left>
      <right style="thin"/>
      <top style="medium"/>
      <bottom style="thin"/>
    </border>
    <border>
      <left style="medium"/>
      <right style="thin"/>
      <top style="thin"/>
      <bottom style="medium"/>
    </border>
    <border>
      <left style="medium"/>
      <right/>
      <top style="thin"/>
      <bottom style="medium"/>
    </border>
    <border>
      <left>
        <color indexed="63"/>
      </left>
      <right style="thin"/>
      <top style="thin"/>
      <bottom style="medium"/>
    </border>
    <border>
      <left>
        <color indexed="63"/>
      </left>
      <right style="thin"/>
      <top>
        <color indexed="63"/>
      </top>
      <bottom style="thin"/>
    </border>
    <border>
      <left/>
      <right/>
      <top style="medium"/>
      <bottom style="double"/>
    </border>
    <border>
      <left/>
      <right style="thin"/>
      <top/>
      <bottom style="medium"/>
    </border>
    <border>
      <left/>
      <right/>
      <top style="medium">
        <color rgb="FF000000"/>
      </top>
      <bottom style="mediu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indexed="63"/>
      </left>
      <right style="thin">
        <color indexed="63"/>
      </right>
      <top style="thin">
        <color indexed="63"/>
      </top>
      <bottom/>
    </border>
    <border>
      <left style="thin">
        <color indexed="63"/>
      </left>
      <right style="thin">
        <color indexed="63"/>
      </right>
      <top/>
      <bottom style="thin">
        <color indexed="63"/>
      </bottom>
    </border>
    <border>
      <left>
        <color indexed="63"/>
      </left>
      <right>
        <color indexed="63"/>
      </right>
      <top style="thin"/>
      <bottom style="medium"/>
    </border>
    <border>
      <left style="thin"/>
      <right style="medium"/>
      <top style="medium"/>
      <bottom/>
    </border>
    <border>
      <left style="thin"/>
      <right style="medium"/>
      <top/>
      <bottom/>
    </border>
    <border>
      <left style="thin"/>
      <right style="medium"/>
      <top/>
      <bottom style="medium"/>
    </border>
    <border>
      <left/>
      <right style="medium"/>
      <top style="medium"/>
      <bottom/>
    </border>
    <border>
      <left/>
      <right style="medium"/>
      <top/>
      <bottom style="medium"/>
    </border>
    <border>
      <left/>
      <right/>
      <top style="thin"/>
      <bottom/>
    </border>
    <border>
      <left style="medium"/>
      <right style="thin"/>
      <top/>
      <bottom style="thin"/>
    </border>
    <border>
      <left style="medium"/>
      <right style="thin"/>
      <top style="thin"/>
      <bottom>
        <color indexed="63"/>
      </bottom>
    </border>
    <border>
      <left style="thin"/>
      <right style="thin"/>
      <top style="medium"/>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1" applyNumberFormat="0" applyAlignment="0" applyProtection="0"/>
    <xf numFmtId="0" fontId="86" fillId="27" borderId="2" applyNumberFormat="0" applyAlignment="0" applyProtection="0"/>
    <xf numFmtId="0" fontId="87" fillId="27" borderId="1" applyNumberFormat="0" applyAlignment="0" applyProtection="0"/>
    <xf numFmtId="0" fontId="8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0" borderId="6" applyNumberFormat="0" applyFill="0" applyAlignment="0" applyProtection="0"/>
    <xf numFmtId="0" fontId="93" fillId="28" borderId="7" applyNumberFormat="0" applyAlignment="0" applyProtection="0"/>
    <xf numFmtId="0" fontId="94" fillId="0" borderId="0" applyNumberFormat="0" applyFill="0" applyBorder="0" applyAlignment="0" applyProtection="0"/>
    <xf numFmtId="0" fontId="95" fillId="29" borderId="0" applyNumberFormat="0" applyBorder="0" applyAlignment="0" applyProtection="0"/>
    <xf numFmtId="0" fontId="2" fillId="0" borderId="0">
      <alignment horizontal="left"/>
      <protection/>
    </xf>
    <xf numFmtId="0" fontId="2" fillId="0" borderId="0">
      <alignment/>
      <protection/>
    </xf>
    <xf numFmtId="0" fontId="2" fillId="0" borderId="0">
      <alignment/>
      <protection/>
    </xf>
    <xf numFmtId="0" fontId="2" fillId="0" borderId="0">
      <alignment/>
      <protection/>
    </xf>
    <xf numFmtId="0" fontId="2" fillId="0" borderId="0">
      <alignment horizontal="left"/>
      <protection/>
    </xf>
    <xf numFmtId="0" fontId="2" fillId="0" borderId="0">
      <alignment/>
      <protection/>
    </xf>
    <xf numFmtId="0" fontId="2" fillId="0" borderId="0">
      <alignment/>
      <protection/>
    </xf>
    <xf numFmtId="0" fontId="2" fillId="0" borderId="0">
      <alignment horizontal="left"/>
      <protection/>
    </xf>
    <xf numFmtId="0" fontId="2" fillId="0" borderId="0">
      <alignment/>
      <protection/>
    </xf>
    <xf numFmtId="0" fontId="2" fillId="0" borderId="0">
      <alignment/>
      <protection/>
    </xf>
    <xf numFmtId="0" fontId="96" fillId="0" borderId="0" applyNumberFormat="0" applyFill="0" applyBorder="0" applyAlignment="0" applyProtection="0"/>
    <xf numFmtId="0" fontId="97" fillId="30" borderId="0" applyNumberFormat="0" applyBorder="0" applyAlignment="0" applyProtection="0"/>
    <xf numFmtId="0" fontId="9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101" fillId="32" borderId="0" applyNumberFormat="0" applyBorder="0" applyAlignment="0" applyProtection="0"/>
  </cellStyleXfs>
  <cellXfs count="815">
    <xf numFmtId="0" fontId="0" fillId="0" borderId="0" xfId="0" applyFont="1" applyAlignment="1">
      <alignment/>
    </xf>
    <xf numFmtId="0" fontId="5" fillId="33" borderId="10" xfId="53" applyFont="1" applyFill="1" applyBorder="1" applyAlignment="1">
      <alignment horizontal="center" vertical="center"/>
      <protection/>
    </xf>
    <xf numFmtId="0" fontId="6" fillId="33" borderId="10" xfId="53" applyFont="1" applyFill="1" applyBorder="1" applyAlignment="1">
      <alignment horizontal="center" vertical="center"/>
      <protection/>
    </xf>
    <xf numFmtId="0" fontId="6" fillId="33" borderId="10" xfId="53" applyFont="1" applyFill="1" applyBorder="1" applyAlignment="1">
      <alignment horizontal="center" vertical="top"/>
      <protection/>
    </xf>
    <xf numFmtId="0" fontId="6" fillId="33" borderId="0" xfId="0" applyFont="1" applyFill="1" applyAlignment="1">
      <alignment horizontal="left"/>
    </xf>
    <xf numFmtId="0" fontId="6" fillId="33" borderId="0" xfId="0" applyFont="1" applyFill="1" applyAlignment="1">
      <alignment/>
    </xf>
    <xf numFmtId="165" fontId="6" fillId="33" borderId="0" xfId="0" applyNumberFormat="1" applyFont="1" applyFill="1" applyAlignment="1">
      <alignment/>
    </xf>
    <xf numFmtId="0" fontId="6" fillId="0" borderId="0" xfId="53" applyFont="1">
      <alignment horizontal="left"/>
      <protection/>
    </xf>
    <xf numFmtId="165" fontId="5" fillId="33" borderId="0" xfId="53" applyNumberFormat="1" applyFont="1" applyFill="1" applyAlignment="1">
      <alignment horizontal="right"/>
      <protection/>
    </xf>
    <xf numFmtId="0" fontId="6" fillId="33" borderId="0" xfId="53" applyFont="1" applyFill="1" applyBorder="1">
      <alignment horizontal="left"/>
      <protection/>
    </xf>
    <xf numFmtId="0" fontId="0" fillId="0" borderId="0" xfId="0" applyAlignment="1">
      <alignment/>
    </xf>
    <xf numFmtId="0" fontId="4" fillId="0" borderId="0" xfId="53" applyFont="1" applyAlignment="1">
      <alignment horizontal="right" vertical="center"/>
      <protection/>
    </xf>
    <xf numFmtId="0" fontId="5" fillId="0" borderId="0" xfId="53" applyFont="1" applyAlignment="1">
      <alignment horizontal="right" vertical="center"/>
      <protection/>
    </xf>
    <xf numFmtId="0" fontId="8" fillId="0" borderId="0" xfId="60" applyFont="1" applyAlignment="1">
      <alignment/>
      <protection/>
    </xf>
    <xf numFmtId="0" fontId="4" fillId="0" borderId="0" xfId="60" applyFont="1" applyAlignment="1">
      <alignment vertical="center"/>
      <protection/>
    </xf>
    <xf numFmtId="0" fontId="6" fillId="0" borderId="0" xfId="0" applyFont="1" applyAlignment="1">
      <alignment horizontal="right"/>
    </xf>
    <xf numFmtId="0" fontId="8" fillId="0" borderId="0" xfId="60" applyFont="1" applyAlignment="1">
      <alignment wrapText="1"/>
      <protection/>
    </xf>
    <xf numFmtId="164" fontId="6" fillId="33" borderId="10" xfId="72" applyNumberFormat="1" applyFont="1" applyFill="1" applyBorder="1" applyAlignment="1">
      <alignment horizontal="left" vertical="center"/>
    </xf>
    <xf numFmtId="165" fontId="6" fillId="33" borderId="10" xfId="72" applyNumberFormat="1" applyFont="1" applyFill="1" applyBorder="1" applyAlignment="1">
      <alignment horizontal="right" vertical="center"/>
    </xf>
    <xf numFmtId="165" fontId="6" fillId="33" borderId="10" xfId="72" applyNumberFormat="1" applyFont="1" applyFill="1" applyBorder="1" applyAlignment="1">
      <alignment horizontal="right" vertical="center" wrapText="1"/>
    </xf>
    <xf numFmtId="165" fontId="6" fillId="33" borderId="10" xfId="72" applyNumberFormat="1" applyFont="1" applyFill="1" applyBorder="1" applyAlignment="1">
      <alignment vertical="center" wrapText="1"/>
    </xf>
    <xf numFmtId="164" fontId="6" fillId="33" borderId="0" xfId="72" applyNumberFormat="1" applyFont="1" applyFill="1" applyBorder="1" applyAlignment="1">
      <alignment horizontal="left" vertical="center"/>
    </xf>
    <xf numFmtId="0" fontId="6" fillId="0" borderId="0" xfId="60" applyFont="1" applyAlignment="1">
      <alignment/>
      <protection/>
    </xf>
    <xf numFmtId="0" fontId="6" fillId="0" borderId="0" xfId="60" applyFont="1" applyAlignment="1">
      <alignment horizontal="center" vertical="top"/>
      <protection/>
    </xf>
    <xf numFmtId="0" fontId="5" fillId="0" borderId="0" xfId="60" applyFont="1" applyAlignment="1">
      <alignment horizontal="left"/>
      <protection/>
    </xf>
    <xf numFmtId="0" fontId="7" fillId="0" borderId="11" xfId="60" applyFont="1" applyBorder="1" applyAlignment="1">
      <alignment horizontal="center" vertical="center"/>
      <protection/>
    </xf>
    <xf numFmtId="0" fontId="7" fillId="0" borderId="0" xfId="60" applyFont="1" applyBorder="1" applyAlignment="1">
      <alignment horizontal="center" vertical="center"/>
      <protection/>
    </xf>
    <xf numFmtId="0" fontId="7" fillId="0" borderId="12" xfId="60" applyFont="1" applyBorder="1" applyAlignment="1">
      <alignment horizontal="center" vertical="center"/>
      <protection/>
    </xf>
    <xf numFmtId="164" fontId="0" fillId="0" borderId="0" xfId="0" applyNumberFormat="1" applyAlignment="1">
      <alignment/>
    </xf>
    <xf numFmtId="0" fontId="6" fillId="0" borderId="0" xfId="60" applyFont="1" applyBorder="1" applyAlignment="1">
      <alignment/>
      <protection/>
    </xf>
    <xf numFmtId="0" fontId="6" fillId="0" borderId="0" xfId="60" applyFont="1" applyBorder="1" applyAlignment="1">
      <alignment horizontal="center" vertical="top"/>
      <protection/>
    </xf>
    <xf numFmtId="164" fontId="5" fillId="33" borderId="10" xfId="72" applyNumberFormat="1" applyFont="1" applyFill="1" applyBorder="1" applyAlignment="1">
      <alignment horizontal="right" vertical="center"/>
    </xf>
    <xf numFmtId="165" fontId="102" fillId="33" borderId="10" xfId="72" applyNumberFormat="1" applyFont="1" applyFill="1" applyBorder="1" applyAlignment="1">
      <alignment horizontal="right" vertical="center"/>
    </xf>
    <xf numFmtId="165" fontId="6" fillId="33" borderId="10" xfId="72" applyNumberFormat="1" applyFont="1" applyFill="1" applyBorder="1" applyAlignment="1">
      <alignment horizontal="right" vertical="top"/>
    </xf>
    <xf numFmtId="165" fontId="102" fillId="33" borderId="10" xfId="72" applyNumberFormat="1" applyFont="1" applyFill="1" applyBorder="1" applyAlignment="1">
      <alignment horizontal="right" vertical="top"/>
    </xf>
    <xf numFmtId="165" fontId="103" fillId="33" borderId="10" xfId="72" applyNumberFormat="1" applyFont="1" applyFill="1" applyBorder="1" applyAlignment="1">
      <alignment horizontal="right" vertical="top"/>
    </xf>
    <xf numFmtId="165" fontId="103" fillId="33" borderId="10" xfId="72" applyNumberFormat="1" applyFont="1" applyFill="1" applyBorder="1" applyAlignment="1">
      <alignment horizontal="right" vertical="center"/>
    </xf>
    <xf numFmtId="165" fontId="5" fillId="33" borderId="13" xfId="72" applyNumberFormat="1" applyFont="1" applyFill="1" applyBorder="1" applyAlignment="1">
      <alignment horizontal="right" vertical="center"/>
    </xf>
    <xf numFmtId="165" fontId="5" fillId="33" borderId="10" xfId="72" applyNumberFormat="1" applyFont="1" applyFill="1" applyBorder="1" applyAlignment="1">
      <alignment horizontal="right" vertical="center"/>
    </xf>
    <xf numFmtId="0" fontId="102" fillId="0" borderId="0" xfId="0" applyFont="1" applyAlignment="1">
      <alignment/>
    </xf>
    <xf numFmtId="0" fontId="102" fillId="0" borderId="0" xfId="0" applyFont="1" applyAlignment="1">
      <alignment horizontal="right"/>
    </xf>
    <xf numFmtId="0" fontId="104" fillId="0" borderId="0" xfId="0" applyFont="1" applyAlignment="1">
      <alignment horizontal="center" vertical="center"/>
    </xf>
    <xf numFmtId="0" fontId="105" fillId="0" borderId="0" xfId="0" applyFont="1" applyAlignment="1">
      <alignment horizontal="center" vertical="center"/>
    </xf>
    <xf numFmtId="0" fontId="106" fillId="0" borderId="0" xfId="0" applyFont="1" applyAlignment="1">
      <alignment vertical="center"/>
    </xf>
    <xf numFmtId="0" fontId="107" fillId="0" borderId="0" xfId="0" applyFont="1" applyAlignment="1">
      <alignment vertical="center"/>
    </xf>
    <xf numFmtId="0" fontId="9" fillId="0" borderId="0" xfId="0" applyFont="1" applyAlignment="1">
      <alignment horizontal="left" vertical="center" wrapText="1" indent="1"/>
    </xf>
    <xf numFmtId="0" fontId="9" fillId="34" borderId="0" xfId="0" applyFont="1" applyFill="1" applyAlignment="1">
      <alignment horizontal="right" vertical="center" wrapText="1"/>
    </xf>
    <xf numFmtId="0" fontId="9" fillId="0" borderId="0" xfId="0" applyFont="1" applyAlignment="1">
      <alignment horizontal="right" vertical="center" wrapText="1"/>
    </xf>
    <xf numFmtId="0" fontId="9" fillId="0" borderId="0" xfId="0" applyFont="1" applyBorder="1" applyAlignment="1">
      <alignment horizontal="right" vertical="center" wrapText="1"/>
    </xf>
    <xf numFmtId="0" fontId="9" fillId="33" borderId="0" xfId="0" applyFont="1" applyFill="1" applyBorder="1" applyAlignment="1">
      <alignment horizontal="right" vertical="center" wrapText="1"/>
    </xf>
    <xf numFmtId="0" fontId="108" fillId="0" borderId="0" xfId="0" applyFont="1" applyAlignment="1">
      <alignment horizontal="left" vertical="center" wrapText="1" shrinkToFit="1"/>
    </xf>
    <xf numFmtId="0" fontId="109" fillId="0" borderId="0" xfId="0" applyFont="1" applyAlignment="1">
      <alignment vertical="center"/>
    </xf>
    <xf numFmtId="0" fontId="110" fillId="0" borderId="0" xfId="0" applyFont="1" applyAlignment="1">
      <alignment vertical="center"/>
    </xf>
    <xf numFmtId="3" fontId="9" fillId="34" borderId="0" xfId="0" applyNumberFormat="1" applyFont="1" applyFill="1" applyAlignment="1">
      <alignment horizontal="right" vertical="center" wrapText="1"/>
    </xf>
    <xf numFmtId="0" fontId="111" fillId="0" borderId="0" xfId="0" applyFont="1" applyAlignment="1">
      <alignment horizontal="right"/>
    </xf>
    <xf numFmtId="3" fontId="10" fillId="34" borderId="14" xfId="0" applyNumberFormat="1" applyFont="1" applyFill="1" applyBorder="1" applyAlignment="1">
      <alignment horizontal="right" vertical="center" wrapText="1"/>
    </xf>
    <xf numFmtId="0" fontId="109" fillId="0" borderId="0" xfId="0" applyFont="1" applyAlignment="1">
      <alignment horizontal="right" vertical="center" wrapText="1"/>
    </xf>
    <xf numFmtId="3" fontId="10" fillId="34" borderId="15" xfId="0" applyNumberFormat="1" applyFont="1" applyFill="1" applyBorder="1" applyAlignment="1">
      <alignment horizontal="right" vertical="center" wrapText="1"/>
    </xf>
    <xf numFmtId="0" fontId="102" fillId="0" borderId="0" xfId="0" applyFont="1" applyAlignment="1">
      <alignment vertical="center" wrapText="1"/>
    </xf>
    <xf numFmtId="0" fontId="0" fillId="0" borderId="0" xfId="0" applyAlignment="1">
      <alignment horizontal="right"/>
    </xf>
    <xf numFmtId="3" fontId="111" fillId="0" borderId="0" xfId="0" applyNumberFormat="1" applyFont="1" applyAlignment="1">
      <alignment horizontal="right"/>
    </xf>
    <xf numFmtId="3" fontId="9" fillId="34" borderId="14" xfId="0" applyNumberFormat="1" applyFont="1" applyFill="1" applyBorder="1" applyAlignment="1">
      <alignment horizontal="right" vertical="center" wrapText="1"/>
    </xf>
    <xf numFmtId="3" fontId="9" fillId="33" borderId="14" xfId="0" applyNumberFormat="1" applyFont="1" applyFill="1" applyBorder="1" applyAlignment="1">
      <alignment horizontal="right" vertical="center" wrapText="1"/>
    </xf>
    <xf numFmtId="0" fontId="10" fillId="0" borderId="15" xfId="0" applyFont="1" applyBorder="1" applyAlignment="1">
      <alignment horizontal="right" vertical="center" wrapText="1"/>
    </xf>
    <xf numFmtId="3" fontId="9" fillId="0" borderId="14" xfId="0" applyNumberFormat="1" applyFont="1" applyBorder="1" applyAlignment="1">
      <alignment horizontal="right" vertical="center" wrapText="1"/>
    </xf>
    <xf numFmtId="0" fontId="112" fillId="0" borderId="0" xfId="0" applyFont="1" applyAlignment="1">
      <alignment vertical="center"/>
    </xf>
    <xf numFmtId="0" fontId="59" fillId="0" borderId="0" xfId="0" applyFont="1" applyAlignment="1">
      <alignment horizontal="right"/>
    </xf>
    <xf numFmtId="0" fontId="113" fillId="0" borderId="0" xfId="0" applyFont="1" applyAlignment="1">
      <alignment vertical="center"/>
    </xf>
    <xf numFmtId="0" fontId="109" fillId="0" borderId="0" xfId="0" applyFont="1" applyAlignment="1">
      <alignment wrapText="1"/>
    </xf>
    <xf numFmtId="0" fontId="109" fillId="0" borderId="14" xfId="0" applyFont="1" applyBorder="1" applyAlignment="1">
      <alignment horizontal="center" vertical="center" textRotation="90" wrapText="1"/>
    </xf>
    <xf numFmtId="0" fontId="109" fillId="0" borderId="14" xfId="0" applyFont="1" applyBorder="1" applyAlignment="1">
      <alignment horizontal="right" vertical="center" textRotation="90" wrapText="1"/>
    </xf>
    <xf numFmtId="0" fontId="10" fillId="0" borderId="0" xfId="0" applyFont="1" applyAlignment="1">
      <alignment horizontal="left" vertical="center" wrapText="1" indent="1"/>
    </xf>
    <xf numFmtId="0" fontId="114" fillId="0" borderId="0" xfId="0" applyFont="1" applyAlignment="1">
      <alignment horizontal="right" vertical="center" wrapText="1"/>
    </xf>
    <xf numFmtId="0" fontId="10" fillId="0" borderId="0" xfId="0" applyFont="1" applyAlignment="1">
      <alignment horizontal="left" wrapText="1" indent="1"/>
    </xf>
    <xf numFmtId="3" fontId="10" fillId="0" borderId="0" xfId="0" applyNumberFormat="1" applyFont="1" applyAlignment="1">
      <alignment horizontal="right" vertical="center" wrapText="1"/>
    </xf>
    <xf numFmtId="3" fontId="115" fillId="0" borderId="0" xfId="0" applyNumberFormat="1" applyFont="1" applyAlignment="1">
      <alignment horizontal="right" vertical="center" wrapText="1"/>
    </xf>
    <xf numFmtId="3" fontId="102" fillId="0" borderId="0" xfId="0" applyNumberFormat="1" applyFont="1" applyAlignment="1">
      <alignment/>
    </xf>
    <xf numFmtId="3" fontId="10" fillId="34" borderId="16" xfId="0" applyNumberFormat="1" applyFont="1" applyFill="1" applyBorder="1" applyAlignment="1">
      <alignment horizontal="right" vertical="center" wrapText="1"/>
    </xf>
    <xf numFmtId="0" fontId="111" fillId="0" borderId="0" xfId="0" applyFont="1" applyAlignment="1">
      <alignment/>
    </xf>
    <xf numFmtId="3" fontId="9" fillId="33" borderId="0" xfId="0" applyNumberFormat="1" applyFont="1" applyFill="1" applyAlignment="1">
      <alignment horizontal="right" vertical="center" wrapText="1"/>
    </xf>
    <xf numFmtId="0" fontId="102" fillId="0" borderId="0" xfId="0" applyFont="1" applyAlignment="1">
      <alignment/>
    </xf>
    <xf numFmtId="0" fontId="102" fillId="0" borderId="0" xfId="0" applyFont="1" applyAlignment="1">
      <alignment wrapText="1"/>
    </xf>
    <xf numFmtId="0" fontId="102" fillId="0" borderId="0" xfId="0" applyFont="1" applyAlignment="1">
      <alignment horizontal="right" wrapText="1"/>
    </xf>
    <xf numFmtId="3" fontId="10" fillId="33" borderId="15" xfId="0" applyNumberFormat="1" applyFont="1" applyFill="1" applyBorder="1" applyAlignment="1">
      <alignment horizontal="right" vertical="center" wrapText="1"/>
    </xf>
    <xf numFmtId="0" fontId="102" fillId="33" borderId="0" xfId="0" applyFont="1" applyFill="1" applyAlignment="1">
      <alignment horizontal="right"/>
    </xf>
    <xf numFmtId="0" fontId="9" fillId="33" borderId="0" xfId="0" applyFont="1" applyFill="1" applyAlignment="1">
      <alignment horizontal="right" vertical="center" wrapText="1"/>
    </xf>
    <xf numFmtId="0" fontId="102" fillId="33" borderId="0" xfId="0" applyFont="1" applyFill="1" applyAlignment="1">
      <alignment/>
    </xf>
    <xf numFmtId="0" fontId="10" fillId="33" borderId="15" xfId="0" applyFont="1" applyFill="1" applyBorder="1" applyAlignment="1">
      <alignment horizontal="right" vertical="center" wrapText="1"/>
    </xf>
    <xf numFmtId="3" fontId="9" fillId="33" borderId="15" xfId="0" applyNumberFormat="1" applyFont="1" applyFill="1" applyBorder="1" applyAlignment="1">
      <alignment horizontal="right" vertical="center" wrapText="1"/>
    </xf>
    <xf numFmtId="164" fontId="5" fillId="33" borderId="13" xfId="72" applyNumberFormat="1" applyFont="1" applyFill="1" applyBorder="1" applyAlignment="1">
      <alignment horizontal="right" vertical="center"/>
    </xf>
    <xf numFmtId="3" fontId="10" fillId="33" borderId="14" xfId="0" applyNumberFormat="1" applyFont="1" applyFill="1" applyBorder="1" applyAlignment="1">
      <alignment horizontal="right" vertical="center" wrapText="1"/>
    </xf>
    <xf numFmtId="3" fontId="10" fillId="33" borderId="17" xfId="0" applyNumberFormat="1" applyFont="1" applyFill="1" applyBorder="1" applyAlignment="1">
      <alignment horizontal="right" vertical="center" wrapText="1"/>
    </xf>
    <xf numFmtId="3" fontId="116" fillId="33" borderId="0" xfId="0" applyNumberFormat="1" applyFont="1" applyFill="1" applyAlignment="1">
      <alignment horizontal="right"/>
    </xf>
    <xf numFmtId="3" fontId="102" fillId="0" borderId="0" xfId="0" applyNumberFormat="1" applyFont="1" applyAlignment="1">
      <alignment horizontal="right"/>
    </xf>
    <xf numFmtId="3" fontId="102" fillId="0" borderId="12" xfId="0" applyNumberFormat="1" applyFont="1" applyBorder="1" applyAlignment="1">
      <alignment horizontal="right"/>
    </xf>
    <xf numFmtId="3" fontId="102" fillId="33" borderId="0" xfId="0" applyNumberFormat="1" applyFont="1" applyFill="1" applyAlignment="1">
      <alignment horizontal="right"/>
    </xf>
    <xf numFmtId="3" fontId="102" fillId="33" borderId="12" xfId="0" applyNumberFormat="1" applyFont="1" applyFill="1" applyBorder="1" applyAlignment="1">
      <alignment horizontal="right"/>
    </xf>
    <xf numFmtId="3" fontId="117" fillId="33" borderId="0" xfId="0" applyNumberFormat="1" applyFont="1" applyFill="1" applyAlignment="1">
      <alignment horizontal="right" vertical="center" wrapText="1"/>
    </xf>
    <xf numFmtId="3" fontId="117" fillId="33" borderId="16" xfId="0" applyNumberFormat="1" applyFont="1" applyFill="1" applyBorder="1" applyAlignment="1">
      <alignment horizontal="right" vertical="center" wrapText="1"/>
    </xf>
    <xf numFmtId="3" fontId="118" fillId="33" borderId="0" xfId="0" applyNumberFormat="1" applyFont="1" applyFill="1" applyAlignment="1">
      <alignment horizontal="right" vertical="center" wrapText="1"/>
    </xf>
    <xf numFmtId="3" fontId="117" fillId="33" borderId="15" xfId="0" applyNumberFormat="1" applyFont="1" applyFill="1" applyBorder="1" applyAlignment="1">
      <alignment horizontal="right" vertical="center" wrapText="1"/>
    </xf>
    <xf numFmtId="3" fontId="113" fillId="33" borderId="14" xfId="0" applyNumberFormat="1" applyFont="1" applyFill="1" applyBorder="1" applyAlignment="1">
      <alignment horizontal="right" vertical="center" wrapText="1"/>
    </xf>
    <xf numFmtId="3" fontId="117" fillId="33" borderId="14" xfId="0" applyNumberFormat="1" applyFont="1" applyFill="1" applyBorder="1" applyAlignment="1">
      <alignment horizontal="right" vertical="center" wrapText="1"/>
    </xf>
    <xf numFmtId="0" fontId="117" fillId="33" borderId="0" xfId="0" applyFont="1" applyFill="1" applyAlignment="1">
      <alignment horizontal="right" vertical="center" wrapText="1"/>
    </xf>
    <xf numFmtId="0" fontId="118" fillId="33" borderId="0" xfId="0" applyFont="1" applyFill="1" applyAlignment="1">
      <alignment horizontal="right" vertical="center" wrapText="1"/>
    </xf>
    <xf numFmtId="0" fontId="117" fillId="33" borderId="14" xfId="0" applyFont="1" applyFill="1" applyBorder="1" applyAlignment="1">
      <alignment horizontal="right" vertical="center" wrapText="1"/>
    </xf>
    <xf numFmtId="3" fontId="117" fillId="34" borderId="14" xfId="0" applyNumberFormat="1" applyFont="1" applyFill="1" applyBorder="1" applyAlignment="1">
      <alignment horizontal="right" vertical="center" wrapText="1"/>
    </xf>
    <xf numFmtId="0" fontId="0" fillId="0" borderId="0" xfId="0" applyAlignment="1">
      <alignment wrapText="1"/>
    </xf>
    <xf numFmtId="164" fontId="5" fillId="33" borderId="18" xfId="72" applyNumberFormat="1" applyFont="1" applyFill="1" applyBorder="1" applyAlignment="1">
      <alignment horizontal="right" vertical="center"/>
    </xf>
    <xf numFmtId="164" fontId="5" fillId="33" borderId="19" xfId="72" applyNumberFormat="1" applyFont="1" applyFill="1" applyBorder="1" applyAlignment="1">
      <alignment horizontal="right" vertical="center"/>
    </xf>
    <xf numFmtId="165" fontId="6" fillId="33" borderId="10" xfId="72" applyNumberFormat="1" applyFont="1" applyFill="1" applyBorder="1" applyAlignment="1">
      <alignment vertical="center"/>
    </xf>
    <xf numFmtId="164" fontId="5" fillId="33" borderId="20" xfId="72" applyNumberFormat="1" applyFont="1" applyFill="1" applyBorder="1" applyAlignment="1">
      <alignment horizontal="right" vertical="center"/>
    </xf>
    <xf numFmtId="164" fontId="5" fillId="33" borderId="21" xfId="72" applyNumberFormat="1" applyFont="1" applyFill="1" applyBorder="1" applyAlignment="1">
      <alignment horizontal="right" vertical="center"/>
    </xf>
    <xf numFmtId="164" fontId="5" fillId="33" borderId="10" xfId="72" applyNumberFormat="1" applyFont="1" applyFill="1" applyBorder="1" applyAlignment="1">
      <alignment horizontal="left" vertical="center"/>
    </xf>
    <xf numFmtId="164" fontId="5" fillId="33" borderId="22" xfId="72" applyNumberFormat="1" applyFont="1" applyFill="1" applyBorder="1" applyAlignment="1">
      <alignment horizontal="right" vertical="center"/>
    </xf>
    <xf numFmtId="0" fontId="119" fillId="33" borderId="0" xfId="53" applyFont="1" applyFill="1" applyAlignment="1">
      <alignment horizontal="center" vertical="center"/>
      <protection/>
    </xf>
    <xf numFmtId="164" fontId="4" fillId="33" borderId="10" xfId="72" applyNumberFormat="1" applyFont="1" applyFill="1" applyBorder="1" applyAlignment="1">
      <alignment horizontal="center" vertical="center"/>
    </xf>
    <xf numFmtId="0" fontId="108" fillId="0" borderId="0" xfId="0" applyFont="1" applyAlignment="1">
      <alignment horizontal="left" vertical="center" wrapText="1" shrinkToFit="1"/>
    </xf>
    <xf numFmtId="0" fontId="6" fillId="0" borderId="0" xfId="0" applyFont="1" applyAlignment="1">
      <alignment vertical="center" wrapText="1"/>
    </xf>
    <xf numFmtId="0" fontId="120" fillId="0" borderId="0" xfId="0" applyFont="1" applyAlignment="1">
      <alignment/>
    </xf>
    <xf numFmtId="0" fontId="105" fillId="0" borderId="0" xfId="0" applyFont="1" applyAlignment="1">
      <alignment/>
    </xf>
    <xf numFmtId="0" fontId="105" fillId="33" borderId="0" xfId="0" applyFont="1" applyFill="1" applyAlignment="1">
      <alignment/>
    </xf>
    <xf numFmtId="0" fontId="11" fillId="0" borderId="0" xfId="53" applyFont="1" applyAlignment="1">
      <alignment/>
      <protection/>
    </xf>
    <xf numFmtId="0" fontId="11" fillId="0" borderId="0" xfId="53" applyFont="1" applyAlignment="1">
      <alignment horizontal="center"/>
      <protection/>
    </xf>
    <xf numFmtId="164" fontId="4" fillId="4" borderId="10" xfId="72" applyNumberFormat="1" applyFont="1" applyFill="1" applyBorder="1" applyAlignment="1">
      <alignment horizontal="center" vertical="center" wrapText="1"/>
    </xf>
    <xf numFmtId="0" fontId="11" fillId="0" borderId="23" xfId="53" applyFont="1" applyBorder="1" applyAlignment="1">
      <alignment/>
      <protection/>
    </xf>
    <xf numFmtId="0" fontId="11" fillId="33" borderId="24" xfId="53" applyFont="1" applyFill="1" applyBorder="1" applyAlignment="1">
      <alignment/>
      <protection/>
    </xf>
    <xf numFmtId="0" fontId="11" fillId="33" borderId="10" xfId="53" applyFont="1" applyFill="1" applyBorder="1" applyAlignment="1">
      <alignment horizontal="center"/>
      <protection/>
    </xf>
    <xf numFmtId="0" fontId="11" fillId="6" borderId="20" xfId="53" applyFont="1" applyFill="1" applyBorder="1" applyAlignment="1">
      <alignment horizontal="center"/>
      <protection/>
    </xf>
    <xf numFmtId="0" fontId="11" fillId="33" borderId="24" xfId="53" applyFont="1" applyFill="1" applyBorder="1" applyAlignment="1">
      <alignment horizontal="center"/>
      <protection/>
    </xf>
    <xf numFmtId="0" fontId="11" fillId="6" borderId="23" xfId="53" applyFont="1" applyFill="1" applyBorder="1" applyAlignment="1">
      <alignment horizontal="center"/>
      <protection/>
    </xf>
    <xf numFmtId="0" fontId="11" fillId="0" borderId="23" xfId="53" applyFont="1" applyBorder="1" applyAlignment="1">
      <alignment horizontal="center" vertical="center"/>
      <protection/>
    </xf>
    <xf numFmtId="165" fontId="121" fillId="33" borderId="24" xfId="72" applyNumberFormat="1" applyFont="1" applyFill="1" applyBorder="1" applyAlignment="1">
      <alignment horizontal="right" vertical="center"/>
    </xf>
    <xf numFmtId="165" fontId="11" fillId="33" borderId="10" xfId="72" applyNumberFormat="1" applyFont="1" applyFill="1" applyBorder="1" applyAlignment="1">
      <alignment horizontal="center" vertical="center"/>
    </xf>
    <xf numFmtId="165" fontId="11" fillId="6" borderId="20" xfId="72" applyNumberFormat="1" applyFont="1" applyFill="1" applyBorder="1" applyAlignment="1">
      <alignment horizontal="center" vertical="center"/>
    </xf>
    <xf numFmtId="165" fontId="11" fillId="33" borderId="24" xfId="72" applyNumberFormat="1" applyFont="1" applyFill="1" applyBorder="1" applyAlignment="1">
      <alignment horizontal="center" vertical="center"/>
    </xf>
    <xf numFmtId="165" fontId="11" fillId="6" borderId="23" xfId="72" applyNumberFormat="1" applyFont="1" applyFill="1" applyBorder="1" applyAlignment="1">
      <alignment horizontal="center" vertical="center"/>
    </xf>
    <xf numFmtId="165" fontId="121" fillId="33" borderId="24" xfId="72" applyNumberFormat="1" applyFont="1" applyFill="1" applyBorder="1" applyAlignment="1">
      <alignment horizontal="right" vertical="top"/>
    </xf>
    <xf numFmtId="165" fontId="11" fillId="33" borderId="10" xfId="72" applyNumberFormat="1" applyFont="1" applyFill="1" applyBorder="1" applyAlignment="1">
      <alignment horizontal="center" vertical="top"/>
    </xf>
    <xf numFmtId="165" fontId="11" fillId="6" borderId="20" xfId="72" applyNumberFormat="1" applyFont="1" applyFill="1" applyBorder="1" applyAlignment="1">
      <alignment horizontal="center" vertical="top"/>
    </xf>
    <xf numFmtId="165" fontId="11" fillId="33" borderId="24" xfId="72" applyNumberFormat="1" applyFont="1" applyFill="1" applyBorder="1" applyAlignment="1">
      <alignment horizontal="center" vertical="top"/>
    </xf>
    <xf numFmtId="165" fontId="11" fillId="6" borderId="23" xfId="72" applyNumberFormat="1" applyFont="1" applyFill="1" applyBorder="1" applyAlignment="1">
      <alignment horizontal="center" vertical="top"/>
    </xf>
    <xf numFmtId="0" fontId="4" fillId="0" borderId="23" xfId="53" applyFont="1" applyBorder="1" applyAlignment="1">
      <alignment horizontal="center" vertical="center"/>
      <protection/>
    </xf>
    <xf numFmtId="165" fontId="122" fillId="33" borderId="24" xfId="72" applyNumberFormat="1" applyFont="1" applyFill="1" applyBorder="1" applyAlignment="1">
      <alignment horizontal="right" vertical="center"/>
    </xf>
    <xf numFmtId="165" fontId="4" fillId="33" borderId="10" xfId="72" applyNumberFormat="1" applyFont="1" applyFill="1" applyBorder="1" applyAlignment="1">
      <alignment horizontal="center" vertical="center"/>
    </xf>
    <xf numFmtId="165" fontId="4" fillId="33" borderId="24" xfId="72" applyNumberFormat="1" applyFont="1" applyFill="1" applyBorder="1" applyAlignment="1">
      <alignment horizontal="center" vertical="center"/>
    </xf>
    <xf numFmtId="0" fontId="121" fillId="33" borderId="24" xfId="53" applyFont="1" applyFill="1" applyBorder="1" applyAlignment="1">
      <alignment/>
      <protection/>
    </xf>
    <xf numFmtId="165" fontId="122" fillId="6" borderId="25" xfId="72" applyNumberFormat="1" applyFont="1" applyFill="1" applyBorder="1" applyAlignment="1">
      <alignment horizontal="center" vertical="center"/>
    </xf>
    <xf numFmtId="165" fontId="122" fillId="33" borderId="24" xfId="72" applyNumberFormat="1" applyFont="1" applyFill="1" applyBorder="1" applyAlignment="1">
      <alignment horizontal="right" vertical="top"/>
    </xf>
    <xf numFmtId="165" fontId="122" fillId="6" borderId="25" xfId="72" applyNumberFormat="1" applyFont="1" applyFill="1" applyBorder="1" applyAlignment="1">
      <alignment horizontal="center" vertical="top"/>
    </xf>
    <xf numFmtId="165" fontId="4" fillId="33" borderId="10" xfId="72" applyNumberFormat="1" applyFont="1" applyFill="1" applyBorder="1" applyAlignment="1">
      <alignment horizontal="center" vertical="top"/>
    </xf>
    <xf numFmtId="165" fontId="4" fillId="6" borderId="20" xfId="72" applyNumberFormat="1" applyFont="1" applyFill="1" applyBorder="1" applyAlignment="1">
      <alignment horizontal="center" vertical="top"/>
    </xf>
    <xf numFmtId="165" fontId="4" fillId="33" borderId="24" xfId="72" applyNumberFormat="1" applyFont="1" applyFill="1" applyBorder="1" applyAlignment="1">
      <alignment horizontal="center" vertical="top"/>
    </xf>
    <xf numFmtId="165" fontId="4" fillId="6" borderId="23" xfId="72" applyNumberFormat="1" applyFont="1" applyFill="1" applyBorder="1" applyAlignment="1">
      <alignment horizontal="center" vertical="top"/>
    </xf>
    <xf numFmtId="0" fontId="11" fillId="0" borderId="23" xfId="53" applyFont="1" applyBorder="1" applyAlignment="1">
      <alignment vertical="top"/>
      <protection/>
    </xf>
    <xf numFmtId="0" fontId="121" fillId="33" borderId="24" xfId="53" applyFont="1" applyFill="1" applyBorder="1" applyAlignment="1">
      <alignment vertical="top"/>
      <protection/>
    </xf>
    <xf numFmtId="0" fontId="11" fillId="33" borderId="10" xfId="53" applyFont="1" applyFill="1" applyBorder="1" applyAlignment="1">
      <alignment horizontal="center" vertical="top"/>
      <protection/>
    </xf>
    <xf numFmtId="0" fontId="11" fillId="6" borderId="20" xfId="53" applyFont="1" applyFill="1" applyBorder="1" applyAlignment="1">
      <alignment horizontal="center" vertical="top"/>
      <protection/>
    </xf>
    <xf numFmtId="0" fontId="11" fillId="33" borderId="24" xfId="53" applyFont="1" applyFill="1" applyBorder="1" applyAlignment="1">
      <alignment horizontal="center" vertical="top"/>
      <protection/>
    </xf>
    <xf numFmtId="0" fontId="11" fillId="6" borderId="23" xfId="53" applyFont="1" applyFill="1" applyBorder="1" applyAlignment="1">
      <alignment horizontal="center" vertical="top"/>
      <protection/>
    </xf>
    <xf numFmtId="0" fontId="121" fillId="33" borderId="10" xfId="53" applyFont="1" applyFill="1" applyBorder="1" applyAlignment="1">
      <alignment/>
      <protection/>
    </xf>
    <xf numFmtId="0" fontId="11" fillId="33" borderId="0" xfId="53" applyFont="1" applyFill="1" applyBorder="1" applyAlignment="1">
      <alignment horizontal="center"/>
      <protection/>
    </xf>
    <xf numFmtId="0" fontId="11" fillId="6" borderId="0" xfId="53" applyFont="1" applyFill="1" applyBorder="1" applyAlignment="1">
      <alignment horizontal="center"/>
      <protection/>
    </xf>
    <xf numFmtId="164" fontId="11" fillId="33" borderId="10" xfId="72" applyNumberFormat="1" applyFont="1" applyFill="1" applyBorder="1" applyAlignment="1">
      <alignment horizontal="center" vertical="center"/>
    </xf>
    <xf numFmtId="164" fontId="11" fillId="6" borderId="10" xfId="72" applyNumberFormat="1" applyFont="1" applyFill="1" applyBorder="1" applyAlignment="1">
      <alignment horizontal="center" vertical="center"/>
    </xf>
    <xf numFmtId="0" fontId="105" fillId="33" borderId="0" xfId="0" applyFont="1" applyFill="1" applyAlignment="1">
      <alignment horizontal="center"/>
    </xf>
    <xf numFmtId="0" fontId="105" fillId="0" borderId="0" xfId="0" applyFont="1" applyAlignment="1">
      <alignment horizontal="center"/>
    </xf>
    <xf numFmtId="165" fontId="4" fillId="33" borderId="10" xfId="72" applyNumberFormat="1" applyFont="1" applyFill="1" applyBorder="1" applyAlignment="1">
      <alignment vertical="center"/>
    </xf>
    <xf numFmtId="164" fontId="11" fillId="33" borderId="10" xfId="72" applyNumberFormat="1" applyFont="1" applyFill="1" applyBorder="1" applyAlignment="1">
      <alignment vertical="center"/>
    </xf>
    <xf numFmtId="0" fontId="6" fillId="0" borderId="0" xfId="53" applyFont="1" applyAlignment="1">
      <alignment vertical="top"/>
      <protection/>
    </xf>
    <xf numFmtId="0" fontId="5" fillId="33" borderId="0" xfId="53" applyFont="1" applyFill="1" applyAlignment="1">
      <alignment horizontal="left"/>
      <protection/>
    </xf>
    <xf numFmtId="0" fontId="6" fillId="33" borderId="0" xfId="53" applyFont="1" applyFill="1" applyAlignment="1">
      <alignment horizontal="center" vertical="top"/>
      <protection/>
    </xf>
    <xf numFmtId="0" fontId="6" fillId="33" borderId="0" xfId="53" applyFont="1" applyFill="1" applyAlignment="1">
      <alignment vertical="top"/>
      <protection/>
    </xf>
    <xf numFmtId="0" fontId="5" fillId="33" borderId="0" xfId="53" applyFont="1" applyFill="1" applyBorder="1" applyAlignment="1">
      <alignment wrapText="1"/>
      <protection/>
    </xf>
    <xf numFmtId="164" fontId="5" fillId="33" borderId="26" xfId="72" applyNumberFormat="1" applyFont="1" applyFill="1" applyBorder="1" applyAlignment="1">
      <alignment horizontal="right" vertical="center"/>
    </xf>
    <xf numFmtId="0" fontId="6" fillId="33" borderId="0" xfId="60" applyFont="1" applyFill="1" applyAlignment="1">
      <alignment/>
      <protection/>
    </xf>
    <xf numFmtId="0" fontId="5" fillId="33" borderId="0" xfId="60" applyFont="1" applyFill="1" applyBorder="1" applyAlignment="1">
      <alignment horizontal="right"/>
      <protection/>
    </xf>
    <xf numFmtId="0" fontId="6" fillId="33" borderId="0" xfId="60" applyFont="1" applyFill="1" applyBorder="1" applyAlignment="1">
      <alignment/>
      <protection/>
    </xf>
    <xf numFmtId="164" fontId="4" fillId="4" borderId="26" xfId="72" applyNumberFormat="1" applyFont="1" applyFill="1" applyBorder="1" applyAlignment="1">
      <alignment horizontal="center" wrapText="1"/>
    </xf>
    <xf numFmtId="0" fontId="119" fillId="33" borderId="0" xfId="53" applyFont="1" applyFill="1" applyAlignment="1">
      <alignment vertical="center"/>
      <protection/>
    </xf>
    <xf numFmtId="165" fontId="11" fillId="33" borderId="10" xfId="72" applyNumberFormat="1" applyFont="1" applyFill="1" applyBorder="1" applyAlignment="1">
      <alignment horizontal="right" vertical="center"/>
    </xf>
    <xf numFmtId="165" fontId="119" fillId="33" borderId="10" xfId="72" applyNumberFormat="1" applyFont="1" applyFill="1" applyBorder="1" applyAlignment="1">
      <alignment horizontal="right" vertical="center"/>
    </xf>
    <xf numFmtId="165" fontId="4" fillId="33" borderId="10" xfId="72" applyNumberFormat="1" applyFont="1" applyFill="1" applyBorder="1" applyAlignment="1">
      <alignment horizontal="right" vertical="center"/>
    </xf>
    <xf numFmtId="0" fontId="5" fillId="33" borderId="0" xfId="60" applyFont="1" applyFill="1" applyBorder="1" applyAlignment="1">
      <alignment horizontal="left" vertical="center" wrapText="1"/>
      <protection/>
    </xf>
    <xf numFmtId="164" fontId="5" fillId="33" borderId="0" xfId="72" applyNumberFormat="1" applyFont="1" applyFill="1" applyBorder="1" applyAlignment="1">
      <alignment horizontal="right" vertical="center"/>
    </xf>
    <xf numFmtId="0" fontId="123" fillId="0" borderId="0" xfId="0" applyFont="1" applyAlignment="1">
      <alignment vertical="center"/>
    </xf>
    <xf numFmtId="0" fontId="124" fillId="0" borderId="0" xfId="0" applyFont="1" applyAlignment="1">
      <alignment vertical="center"/>
    </xf>
    <xf numFmtId="0" fontId="125" fillId="0" borderId="0" xfId="0" applyFont="1" applyAlignment="1">
      <alignment/>
    </xf>
    <xf numFmtId="0" fontId="4" fillId="0" borderId="0" xfId="0" applyFont="1" applyAlignment="1">
      <alignment horizontal="left" vertical="center" indent="4"/>
    </xf>
    <xf numFmtId="0" fontId="4" fillId="0" borderId="0" xfId="0" applyFont="1" applyAlignment="1">
      <alignment vertical="center"/>
    </xf>
    <xf numFmtId="0" fontId="126" fillId="0" borderId="0" xfId="0" applyFont="1" applyAlignment="1">
      <alignment vertical="center"/>
    </xf>
    <xf numFmtId="0" fontId="102" fillId="0" borderId="0" xfId="0" applyFont="1" applyAlignment="1">
      <alignment vertical="center"/>
    </xf>
    <xf numFmtId="0" fontId="127" fillId="0" borderId="0" xfId="0" applyFont="1" applyAlignment="1">
      <alignment vertical="center" wrapText="1"/>
    </xf>
    <xf numFmtId="0" fontId="128" fillId="0" borderId="0" xfId="0" applyFont="1" applyBorder="1" applyAlignment="1">
      <alignment vertical="center" wrapText="1"/>
    </xf>
    <xf numFmtId="14" fontId="128" fillId="0" borderId="12" xfId="0" applyNumberFormat="1" applyFont="1" applyBorder="1" applyAlignment="1">
      <alignment vertical="center" wrapText="1"/>
    </xf>
    <xf numFmtId="0" fontId="128" fillId="0" borderId="12" xfId="0" applyFont="1" applyBorder="1" applyAlignment="1">
      <alignment horizontal="right" vertical="center" wrapText="1"/>
    </xf>
    <xf numFmtId="0" fontId="6" fillId="0" borderId="0" xfId="0" applyFont="1" applyAlignment="1">
      <alignment horizontal="left" vertical="center" wrapText="1" indent="1"/>
    </xf>
    <xf numFmtId="0" fontId="6" fillId="0" borderId="12" xfId="0" applyFont="1" applyBorder="1" applyAlignment="1">
      <alignment horizontal="right" vertical="center" wrapText="1"/>
    </xf>
    <xf numFmtId="0" fontId="6" fillId="33" borderId="0" xfId="0" applyFont="1" applyFill="1" applyBorder="1" applyAlignment="1">
      <alignment horizontal="right" vertical="center" wrapText="1"/>
    </xf>
    <xf numFmtId="0" fontId="6" fillId="0" borderId="0" xfId="0" applyFont="1" applyBorder="1" applyAlignment="1">
      <alignment horizontal="right" vertical="center" wrapText="1"/>
    </xf>
    <xf numFmtId="0" fontId="129" fillId="0" borderId="0" xfId="0" applyFont="1" applyAlignment="1">
      <alignment vertical="center"/>
    </xf>
    <xf numFmtId="0" fontId="128" fillId="0" borderId="0" xfId="0" applyFont="1" applyAlignment="1">
      <alignment horizontal="left" vertical="center" wrapText="1"/>
    </xf>
    <xf numFmtId="0" fontId="129" fillId="33" borderId="0" xfId="0" applyFont="1" applyFill="1" applyAlignment="1">
      <alignment vertical="center"/>
    </xf>
    <xf numFmtId="0" fontId="128" fillId="0" borderId="0" xfId="0" applyFont="1" applyAlignment="1">
      <alignment horizontal="left" vertical="center" wrapText="1" shrinkToFit="1"/>
    </xf>
    <xf numFmtId="0" fontId="128" fillId="0" borderId="0" xfId="0" applyFont="1" applyAlignment="1">
      <alignment horizontal="justify" vertical="center" wrapText="1" shrinkToFit="1"/>
    </xf>
    <xf numFmtId="0" fontId="126" fillId="0" borderId="0" xfId="0" applyFont="1" applyAlignment="1">
      <alignment/>
    </xf>
    <xf numFmtId="0" fontId="102" fillId="0" borderId="0" xfId="0" applyFont="1" applyAlignment="1">
      <alignment horizontal="right" vertical="center" wrapText="1"/>
    </xf>
    <xf numFmtId="0" fontId="128" fillId="0" borderId="0" xfId="0" applyFont="1" applyAlignment="1">
      <alignment vertical="center" wrapText="1"/>
    </xf>
    <xf numFmtId="0" fontId="125" fillId="0" borderId="0" xfId="0" applyFont="1" applyAlignment="1">
      <alignment horizontal="right"/>
    </xf>
    <xf numFmtId="0" fontId="128" fillId="0" borderId="0" xfId="0" applyFont="1" applyAlignment="1">
      <alignment vertical="center"/>
    </xf>
    <xf numFmtId="0" fontId="5" fillId="33" borderId="0" xfId="0" applyFont="1" applyFill="1" applyBorder="1" applyAlignment="1">
      <alignment horizontal="right" vertical="center" wrapText="1"/>
    </xf>
    <xf numFmtId="0" fontId="5" fillId="0" borderId="0" xfId="0" applyFont="1" applyBorder="1" applyAlignment="1">
      <alignment horizontal="right" vertical="center" wrapText="1"/>
    </xf>
    <xf numFmtId="0" fontId="130" fillId="0" borderId="0" xfId="0" applyFont="1" applyAlignment="1">
      <alignment/>
    </xf>
    <xf numFmtId="0" fontId="73" fillId="0" borderId="0" xfId="0" applyFont="1" applyAlignment="1">
      <alignment horizontal="right"/>
    </xf>
    <xf numFmtId="0" fontId="131" fillId="0" borderId="0" xfId="0" applyFont="1" applyAlignment="1">
      <alignment vertical="center"/>
    </xf>
    <xf numFmtId="0" fontId="102" fillId="0" borderId="14" xfId="0" applyFont="1" applyBorder="1" applyAlignment="1">
      <alignment horizontal="center" vertical="center" textRotation="90" wrapText="1"/>
    </xf>
    <xf numFmtId="0" fontId="5" fillId="0" borderId="0" xfId="0" applyFont="1" applyAlignment="1">
      <alignment horizontal="left" vertical="center" wrapText="1" indent="1"/>
    </xf>
    <xf numFmtId="3" fontId="116" fillId="0" borderId="17" xfId="0" applyNumberFormat="1" applyFont="1" applyBorder="1" applyAlignment="1">
      <alignment horizontal="right" vertical="center" wrapText="1"/>
    </xf>
    <xf numFmtId="3" fontId="116" fillId="33" borderId="0" xfId="0" applyNumberFormat="1" applyFont="1" applyFill="1" applyAlignment="1">
      <alignment horizontal="right" vertical="center" wrapText="1"/>
    </xf>
    <xf numFmtId="3" fontId="116" fillId="33" borderId="14" xfId="0" applyNumberFormat="1" applyFont="1" applyFill="1" applyBorder="1" applyAlignment="1">
      <alignment horizontal="right" vertical="center" wrapText="1"/>
    </xf>
    <xf numFmtId="0" fontId="5" fillId="0" borderId="0" xfId="0" applyFont="1" applyAlignment="1">
      <alignment horizontal="left" wrapText="1" indent="1"/>
    </xf>
    <xf numFmtId="3" fontId="116" fillId="0" borderId="0" xfId="0" applyNumberFormat="1" applyFont="1" applyAlignment="1">
      <alignment horizontal="right" vertical="center" wrapText="1"/>
    </xf>
    <xf numFmtId="3" fontId="116" fillId="33" borderId="16" xfId="0" applyNumberFormat="1" applyFont="1" applyFill="1" applyBorder="1" applyAlignment="1">
      <alignment horizontal="right" vertical="center" wrapText="1"/>
    </xf>
    <xf numFmtId="3" fontId="5" fillId="33" borderId="0" xfId="0" applyNumberFormat="1" applyFont="1" applyFill="1" applyBorder="1" applyAlignment="1">
      <alignment horizontal="right" vertical="center" wrapText="1"/>
    </xf>
    <xf numFmtId="0" fontId="116" fillId="0" borderId="0" xfId="0" applyFont="1" applyAlignment="1">
      <alignment vertical="center" wrapText="1"/>
    </xf>
    <xf numFmtId="0" fontId="116" fillId="0" borderId="0" xfId="0" applyFont="1" applyAlignment="1">
      <alignment horizontal="right" vertical="center" wrapText="1"/>
    </xf>
    <xf numFmtId="0" fontId="120" fillId="0" borderId="0" xfId="0" applyFont="1" applyAlignment="1">
      <alignment vertical="center"/>
    </xf>
    <xf numFmtId="0" fontId="128" fillId="33" borderId="0" xfId="0" applyFont="1" applyFill="1" applyAlignment="1">
      <alignment horizontal="justify" vertical="center" wrapText="1"/>
    </xf>
    <xf numFmtId="0" fontId="123" fillId="0" borderId="0" xfId="0" applyFont="1" applyAlignment="1">
      <alignment vertical="center" wrapText="1"/>
    </xf>
    <xf numFmtId="0" fontId="123" fillId="0" borderId="0" xfId="0" applyFont="1" applyAlignment="1">
      <alignment wrapText="1"/>
    </xf>
    <xf numFmtId="0" fontId="128" fillId="0" borderId="0" xfId="0" applyFont="1" applyAlignment="1">
      <alignment horizontal="justify" vertical="top" wrapText="1"/>
    </xf>
    <xf numFmtId="0" fontId="102" fillId="33" borderId="0" xfId="0" applyFont="1" applyFill="1" applyBorder="1" applyAlignment="1">
      <alignment horizontal="right" vertical="center" textRotation="90" wrapText="1"/>
    </xf>
    <xf numFmtId="0" fontId="125" fillId="33" borderId="0" xfId="0" applyFont="1" applyFill="1" applyBorder="1" applyAlignment="1">
      <alignment/>
    </xf>
    <xf numFmtId="3" fontId="116" fillId="33" borderId="0" xfId="0" applyNumberFormat="1" applyFont="1" applyFill="1" applyBorder="1" applyAlignment="1">
      <alignment horizontal="right" vertical="center" wrapText="1"/>
    </xf>
    <xf numFmtId="3" fontId="10" fillId="33" borderId="0" xfId="0" applyNumberFormat="1" applyFont="1" applyFill="1" applyBorder="1" applyAlignment="1">
      <alignment horizontal="right" vertical="center" wrapText="1"/>
    </xf>
    <xf numFmtId="3" fontId="10" fillId="34" borderId="0" xfId="0" applyNumberFormat="1" applyFont="1" applyFill="1" applyBorder="1" applyAlignment="1">
      <alignment horizontal="right" vertical="center" wrapText="1"/>
    </xf>
    <xf numFmtId="3" fontId="5" fillId="0" borderId="0" xfId="0" applyNumberFormat="1" applyFont="1" applyBorder="1" applyAlignment="1">
      <alignment horizontal="right" vertical="center" wrapText="1"/>
    </xf>
    <xf numFmtId="3" fontId="9" fillId="33" borderId="0" xfId="0" applyNumberFormat="1" applyFont="1" applyFill="1" applyBorder="1" applyAlignment="1">
      <alignment horizontal="right" vertical="center" wrapText="1"/>
    </xf>
    <xf numFmtId="165" fontId="105" fillId="33" borderId="0" xfId="0" applyNumberFormat="1" applyFont="1" applyFill="1" applyAlignment="1">
      <alignment/>
    </xf>
    <xf numFmtId="0" fontId="6" fillId="33" borderId="10" xfId="60" applyFont="1" applyFill="1" applyBorder="1" applyAlignment="1">
      <alignment horizontal="left" vertical="center" wrapText="1"/>
      <protection/>
    </xf>
    <xf numFmtId="0" fontId="6" fillId="33" borderId="23" xfId="60" applyFont="1" applyFill="1" applyBorder="1" applyAlignment="1">
      <alignment horizontal="left" vertical="center" wrapText="1"/>
      <protection/>
    </xf>
    <xf numFmtId="0" fontId="5" fillId="33" borderId="10" xfId="60" applyFont="1" applyFill="1" applyBorder="1" applyAlignment="1">
      <alignment horizontal="left" vertical="center" wrapText="1"/>
      <protection/>
    </xf>
    <xf numFmtId="0" fontId="5" fillId="33" borderId="23" xfId="60" applyFont="1" applyFill="1" applyBorder="1" applyAlignment="1">
      <alignment horizontal="left" vertical="center" wrapText="1"/>
      <protection/>
    </xf>
    <xf numFmtId="0" fontId="6" fillId="33" borderId="27" xfId="60" applyFont="1" applyFill="1" applyBorder="1" applyAlignment="1">
      <alignment horizontal="left" vertical="center" wrapText="1"/>
      <protection/>
    </xf>
    <xf numFmtId="0" fontId="5" fillId="33" borderId="28" xfId="60" applyFont="1" applyFill="1" applyBorder="1" applyAlignment="1">
      <alignment horizontal="left" vertical="center" wrapText="1"/>
      <protection/>
    </xf>
    <xf numFmtId="0" fontId="5" fillId="33" borderId="29" xfId="60" applyFont="1" applyFill="1" applyBorder="1" applyAlignment="1">
      <alignment horizontal="left" vertical="center" wrapText="1"/>
      <protection/>
    </xf>
    <xf numFmtId="164" fontId="4" fillId="4" borderId="30" xfId="72" applyNumberFormat="1" applyFont="1" applyFill="1" applyBorder="1" applyAlignment="1">
      <alignment horizontal="center" wrapText="1"/>
    </xf>
    <xf numFmtId="0" fontId="5" fillId="33" borderId="31" xfId="60" applyFont="1" applyFill="1" applyBorder="1" applyAlignment="1">
      <alignment horizontal="left" vertical="center" wrapText="1"/>
      <protection/>
    </xf>
    <xf numFmtId="0" fontId="5" fillId="33" borderId="32" xfId="60" applyFont="1" applyFill="1" applyBorder="1" applyAlignment="1">
      <alignment horizontal="left" vertical="center" wrapText="1"/>
      <protection/>
    </xf>
    <xf numFmtId="0" fontId="102" fillId="0" borderId="10" xfId="0" applyFont="1" applyBorder="1" applyAlignment="1">
      <alignment/>
    </xf>
    <xf numFmtId="165" fontId="5" fillId="33" borderId="10" xfId="72" applyNumberFormat="1" applyFont="1" applyFill="1" applyBorder="1" applyAlignment="1">
      <alignment vertical="center"/>
    </xf>
    <xf numFmtId="165" fontId="11" fillId="33" borderId="10" xfId="72" applyNumberFormat="1" applyFont="1" applyFill="1" applyBorder="1" applyAlignment="1">
      <alignment vertical="center"/>
    </xf>
    <xf numFmtId="165" fontId="120" fillId="33" borderId="10" xfId="72" applyNumberFormat="1" applyFont="1" applyFill="1" applyBorder="1" applyAlignment="1">
      <alignment vertical="center"/>
    </xf>
    <xf numFmtId="165" fontId="119" fillId="33" borderId="10" xfId="72" applyNumberFormat="1" applyFont="1" applyFill="1" applyBorder="1" applyAlignment="1">
      <alignment vertical="center"/>
    </xf>
    <xf numFmtId="0" fontId="20" fillId="0" borderId="0" xfId="0" applyFont="1" applyFill="1" applyAlignment="1" applyProtection="1">
      <alignment horizontal="left" vertical="center" wrapText="1"/>
      <protection hidden="1" locked="0"/>
    </xf>
    <xf numFmtId="0" fontId="21" fillId="0" borderId="0" xfId="0" applyFont="1" applyFill="1" applyAlignment="1" applyProtection="1">
      <alignment horizontal="left" wrapText="1"/>
      <protection hidden="1" locked="0"/>
    </xf>
    <xf numFmtId="0" fontId="20" fillId="0" borderId="0" xfId="0" applyFont="1" applyFill="1" applyAlignment="1" applyProtection="1">
      <alignment horizontal="left" vertical="top" wrapText="1"/>
      <protection hidden="1" locked="0"/>
    </xf>
    <xf numFmtId="0" fontId="1" fillId="0" borderId="0" xfId="0" applyFont="1" applyFill="1" applyAlignment="1" applyProtection="1">
      <alignment horizontal="left" wrapText="1"/>
      <protection hidden="1" locked="0"/>
    </xf>
    <xf numFmtId="0" fontId="22" fillId="0" borderId="0" xfId="0" applyFont="1" applyFill="1" applyAlignment="1" applyProtection="1">
      <alignment horizontal="right" wrapText="1"/>
      <protection hidden="1" locked="0"/>
    </xf>
    <xf numFmtId="0" fontId="22" fillId="0" borderId="33" xfId="0" applyFont="1" applyFill="1" applyBorder="1" applyAlignment="1" applyProtection="1">
      <alignment horizontal="center" vertical="center" wrapText="1"/>
      <protection hidden="1" locked="0"/>
    </xf>
    <xf numFmtId="0" fontId="20" fillId="0" borderId="33" xfId="0" applyFont="1" applyFill="1" applyBorder="1" applyAlignment="1" applyProtection="1">
      <alignment horizontal="left" vertical="center" wrapText="1"/>
      <protection hidden="1" locked="0"/>
    </xf>
    <xf numFmtId="49" fontId="20" fillId="33" borderId="33" xfId="0" applyNumberFormat="1" applyFont="1" applyFill="1" applyBorder="1" applyAlignment="1" applyProtection="1">
      <alignment horizontal="center" vertical="center" wrapText="1"/>
      <protection hidden="1" locked="0"/>
    </xf>
    <xf numFmtId="4" fontId="20" fillId="0" borderId="33" xfId="0" applyNumberFormat="1" applyFont="1" applyFill="1" applyBorder="1" applyAlignment="1" applyProtection="1">
      <alignment horizontal="right" vertical="center" wrapText="1"/>
      <protection hidden="1" locked="0"/>
    </xf>
    <xf numFmtId="0" fontId="22" fillId="0" borderId="33" xfId="0" applyFont="1" applyFill="1" applyBorder="1" applyAlignment="1" applyProtection="1">
      <alignment horizontal="left" vertical="center" wrapText="1"/>
      <protection hidden="1" locked="0"/>
    </xf>
    <xf numFmtId="4" fontId="22" fillId="0" borderId="33" xfId="0" applyNumberFormat="1" applyFont="1" applyFill="1" applyBorder="1" applyAlignment="1" applyProtection="1">
      <alignment horizontal="right" vertical="center" wrapText="1"/>
      <protection hidden="1" locked="0"/>
    </xf>
    <xf numFmtId="0" fontId="20" fillId="0" borderId="33" xfId="0" applyFont="1" applyFill="1" applyBorder="1" applyAlignment="1" applyProtection="1">
      <alignment horizontal="center" vertical="center" wrapText="1"/>
      <protection hidden="1" locked="0"/>
    </xf>
    <xf numFmtId="4" fontId="0" fillId="0" borderId="0" xfId="0" applyNumberFormat="1" applyAlignment="1">
      <alignment/>
    </xf>
    <xf numFmtId="0" fontId="20" fillId="0" borderId="0" xfId="0" applyFont="1" applyFill="1" applyAlignment="1" applyProtection="1">
      <alignment horizontal="left" wrapText="1"/>
      <protection hidden="1" locked="0"/>
    </xf>
    <xf numFmtId="0" fontId="20" fillId="0" borderId="0" xfId="0" applyFont="1" applyFill="1" applyBorder="1" applyAlignment="1" applyProtection="1">
      <alignment/>
      <protection hidden="1" locked="0"/>
    </xf>
    <xf numFmtId="0" fontId="20" fillId="0" borderId="0" xfId="0" applyFont="1" applyFill="1" applyAlignment="1" applyProtection="1">
      <alignment horizontal="center" vertical="center" wrapText="1"/>
      <protection hidden="1" locked="0"/>
    </xf>
    <xf numFmtId="4" fontId="22" fillId="0" borderId="0" xfId="0" applyNumberFormat="1" applyFont="1" applyFill="1" applyBorder="1" applyAlignment="1" applyProtection="1">
      <alignment horizontal="right" vertical="center" wrapText="1"/>
      <protection hidden="1" locked="0"/>
    </xf>
    <xf numFmtId="0" fontId="92" fillId="0" borderId="0" xfId="0" applyFont="1" applyBorder="1" applyAlignment="1" applyProtection="1">
      <alignment vertical="center" wrapText="1"/>
      <protection hidden="1" locked="0"/>
    </xf>
    <xf numFmtId="0" fontId="22" fillId="0" borderId="0" xfId="0" applyFont="1" applyFill="1" applyAlignment="1" applyProtection="1">
      <alignment wrapText="1"/>
      <protection hidden="1" locked="0"/>
    </xf>
    <xf numFmtId="0" fontId="92" fillId="0" borderId="0" xfId="0" applyFont="1" applyAlignment="1">
      <alignment/>
    </xf>
    <xf numFmtId="0" fontId="19" fillId="0" borderId="0" xfId="0" applyFont="1" applyFill="1" applyAlignment="1" applyProtection="1">
      <alignment horizontal="left" wrapText="1"/>
      <protection hidden="1" locked="0"/>
    </xf>
    <xf numFmtId="0" fontId="4" fillId="0" borderId="0" xfId="53" applyFont="1" applyAlignment="1">
      <alignment vertical="center"/>
      <protection/>
    </xf>
    <xf numFmtId="4" fontId="23" fillId="33" borderId="10" xfId="0" applyNumberFormat="1" applyFont="1" applyFill="1" applyBorder="1" applyAlignment="1" applyProtection="1">
      <alignment/>
      <protection hidden="1" locked="0"/>
    </xf>
    <xf numFmtId="0" fontId="23" fillId="33" borderId="10" xfId="0" applyFont="1" applyFill="1" applyBorder="1" applyAlignment="1" applyProtection="1">
      <alignment/>
      <protection hidden="1" locked="0"/>
    </xf>
    <xf numFmtId="164" fontId="24" fillId="33" borderId="10" xfId="72" applyNumberFormat="1" applyFont="1" applyFill="1" applyBorder="1" applyAlignment="1">
      <alignment horizontal="left" vertical="center"/>
    </xf>
    <xf numFmtId="0" fontId="22" fillId="0" borderId="0" xfId="0" applyFont="1" applyFill="1" applyBorder="1" applyAlignment="1" applyProtection="1">
      <alignment horizontal="left" vertical="center" wrapText="1"/>
      <protection hidden="1" locked="0"/>
    </xf>
    <xf numFmtId="0" fontId="22" fillId="0" borderId="0" xfId="0" applyFont="1" applyFill="1" applyBorder="1" applyAlignment="1" applyProtection="1">
      <alignment horizontal="center" vertical="center" wrapText="1"/>
      <protection hidden="1" locked="0"/>
    </xf>
    <xf numFmtId="164" fontId="24" fillId="33" borderId="0" xfId="72" applyNumberFormat="1" applyFont="1" applyFill="1" applyBorder="1" applyAlignment="1">
      <alignment horizontal="left" vertical="center"/>
    </xf>
    <xf numFmtId="4" fontId="2" fillId="0" borderId="34" xfId="56" applyNumberFormat="1" applyFont="1" applyBorder="1" applyAlignment="1">
      <alignment horizontal="right" vertical="top"/>
      <protection/>
    </xf>
    <xf numFmtId="0" fontId="25" fillId="0" borderId="35" xfId="57" applyFont="1" applyBorder="1" applyAlignment="1">
      <alignment vertical="top" wrapText="1"/>
      <protection/>
    </xf>
    <xf numFmtId="0" fontId="25" fillId="0" borderId="36" xfId="57" applyFont="1" applyBorder="1" applyAlignment="1">
      <alignment horizontal="right" vertical="top"/>
      <protection/>
    </xf>
    <xf numFmtId="166" fontId="25" fillId="0" borderId="37" xfId="57" applyNumberFormat="1" applyFont="1" applyBorder="1" applyAlignment="1">
      <alignment horizontal="right" vertical="top"/>
      <protection/>
    </xf>
    <xf numFmtId="167" fontId="25" fillId="0" borderId="37" xfId="57" applyNumberFormat="1" applyFont="1" applyBorder="1" applyAlignment="1">
      <alignment horizontal="right" vertical="top"/>
      <protection/>
    </xf>
    <xf numFmtId="166" fontId="25" fillId="0" borderId="36" xfId="57" applyNumberFormat="1" applyFont="1" applyBorder="1" applyAlignment="1">
      <alignment horizontal="right" vertical="top"/>
      <protection/>
    </xf>
    <xf numFmtId="0" fontId="25" fillId="0" borderId="37" xfId="57" applyFont="1" applyBorder="1" applyAlignment="1">
      <alignment horizontal="right" vertical="top"/>
      <protection/>
    </xf>
    <xf numFmtId="167" fontId="25" fillId="0" borderId="36" xfId="57" applyNumberFormat="1" applyFont="1" applyBorder="1" applyAlignment="1">
      <alignment horizontal="right" vertical="top"/>
      <protection/>
    </xf>
    <xf numFmtId="168" fontId="25" fillId="0" borderId="36" xfId="57" applyNumberFormat="1" applyFont="1" applyBorder="1" applyAlignment="1">
      <alignment horizontal="right" vertical="top"/>
      <protection/>
    </xf>
    <xf numFmtId="168" fontId="25" fillId="0" borderId="37" xfId="57" applyNumberFormat="1" applyFont="1" applyBorder="1" applyAlignment="1">
      <alignment horizontal="right" vertical="top"/>
      <protection/>
    </xf>
    <xf numFmtId="0" fontId="0" fillId="0" borderId="36" xfId="0" applyBorder="1" applyAlignment="1">
      <alignment/>
    </xf>
    <xf numFmtId="166" fontId="132" fillId="0" borderId="36" xfId="57" applyNumberFormat="1" applyFont="1" applyBorder="1" applyAlignment="1">
      <alignment horizontal="right" vertical="top"/>
      <protection/>
    </xf>
    <xf numFmtId="169" fontId="0" fillId="0" borderId="0" xfId="0" applyNumberFormat="1" applyAlignment="1">
      <alignment/>
    </xf>
    <xf numFmtId="170" fontId="0" fillId="0" borderId="0" xfId="0" applyNumberFormat="1" applyAlignment="1">
      <alignment/>
    </xf>
    <xf numFmtId="1" fontId="0" fillId="0" borderId="0" xfId="0" applyNumberFormat="1" applyAlignment="1">
      <alignment/>
    </xf>
    <xf numFmtId="4" fontId="2" fillId="0" borderId="34" xfId="58" applyNumberFormat="1" applyFont="1" applyBorder="1" applyAlignment="1">
      <alignment horizontal="right" vertical="top"/>
      <protection/>
    </xf>
    <xf numFmtId="2" fontId="2" fillId="0" borderId="34" xfId="58" applyNumberFormat="1" applyFont="1" applyBorder="1" applyAlignment="1">
      <alignment horizontal="right" vertical="top"/>
      <protection/>
    </xf>
    <xf numFmtId="0" fontId="2" fillId="0" borderId="34" xfId="58" applyNumberFormat="1" applyFont="1" applyBorder="1" applyAlignment="1">
      <alignment horizontal="left" vertical="top"/>
      <protection/>
    </xf>
    <xf numFmtId="166" fontId="25" fillId="35" borderId="36" xfId="57" applyNumberFormat="1" applyFont="1" applyFill="1" applyBorder="1" applyAlignment="1">
      <alignment horizontal="right" vertical="top"/>
      <protection/>
    </xf>
    <xf numFmtId="4" fontId="2" fillId="35" borderId="34" xfId="58" applyNumberFormat="1" applyFont="1" applyFill="1" applyBorder="1" applyAlignment="1">
      <alignment horizontal="right" vertical="top"/>
      <protection/>
    </xf>
    <xf numFmtId="164" fontId="23" fillId="33" borderId="10" xfId="72" applyNumberFormat="1" applyFont="1" applyFill="1" applyBorder="1" applyAlignment="1">
      <alignment horizontal="center" vertical="center"/>
    </xf>
    <xf numFmtId="4" fontId="23" fillId="33" borderId="10" xfId="0" applyNumberFormat="1" applyFont="1" applyFill="1" applyBorder="1" applyAlignment="1" applyProtection="1">
      <alignment horizontal="center" vertical="center"/>
      <protection hidden="1" locked="0"/>
    </xf>
    <xf numFmtId="164" fontId="24" fillId="33" borderId="10" xfId="72" applyNumberFormat="1" applyFont="1" applyFill="1" applyBorder="1" applyAlignment="1">
      <alignment horizontal="center" vertical="center"/>
    </xf>
    <xf numFmtId="0" fontId="0" fillId="0" borderId="0" xfId="0" applyBorder="1" applyAlignment="1">
      <alignment/>
    </xf>
    <xf numFmtId="0" fontId="22" fillId="4" borderId="33" xfId="0" applyFont="1" applyFill="1" applyBorder="1" applyAlignment="1" applyProtection="1">
      <alignment horizontal="center" vertical="center" wrapText="1"/>
      <protection hidden="1" locked="0"/>
    </xf>
    <xf numFmtId="0" fontId="26" fillId="36" borderId="38" xfId="59" applyNumberFormat="1" applyFont="1" applyFill="1" applyBorder="1" applyAlignment="1">
      <alignment horizontal="left" vertical="top" wrapText="1"/>
      <protection/>
    </xf>
    <xf numFmtId="0" fontId="26" fillId="36" borderId="34" xfId="59" applyNumberFormat="1" applyFont="1" applyFill="1" applyBorder="1" applyAlignment="1">
      <alignment horizontal="left" vertical="top" wrapText="1"/>
      <protection/>
    </xf>
    <xf numFmtId="4" fontId="26" fillId="36" borderId="34" xfId="59" applyNumberFormat="1" applyFont="1" applyFill="1" applyBorder="1" applyAlignment="1">
      <alignment horizontal="right" vertical="top"/>
      <protection/>
    </xf>
    <xf numFmtId="0" fontId="27" fillId="36" borderId="34" xfId="59" applyNumberFormat="1" applyFont="1" applyFill="1" applyBorder="1" applyAlignment="1">
      <alignment horizontal="left" vertical="top" wrapText="1" indent="2"/>
      <protection/>
    </xf>
    <xf numFmtId="4" fontId="27" fillId="36" borderId="34" xfId="59" applyNumberFormat="1" applyFont="1" applyFill="1" applyBorder="1" applyAlignment="1">
      <alignment horizontal="right" vertical="top"/>
      <protection/>
    </xf>
    <xf numFmtId="0" fontId="2" fillId="0" borderId="34" xfId="59" applyNumberFormat="1" applyFont="1" applyBorder="1" applyAlignment="1">
      <alignment horizontal="left" vertical="top" wrapText="1" indent="4"/>
      <protection/>
    </xf>
    <xf numFmtId="4" fontId="2" fillId="0" borderId="34" xfId="59" applyNumberFormat="1" applyFont="1" applyBorder="1" applyAlignment="1">
      <alignment horizontal="right" vertical="top"/>
      <protection/>
    </xf>
    <xf numFmtId="1" fontId="27" fillId="36" borderId="34" xfId="59" applyNumberFormat="1" applyFont="1" applyFill="1" applyBorder="1" applyAlignment="1">
      <alignment horizontal="left" vertical="top" wrapText="1" indent="2"/>
      <protection/>
    </xf>
    <xf numFmtId="2" fontId="2" fillId="0" borderId="34" xfId="59" applyNumberFormat="1" applyFont="1" applyBorder="1" applyAlignment="1">
      <alignment horizontal="right" vertical="top"/>
      <protection/>
    </xf>
    <xf numFmtId="0" fontId="26" fillId="36" borderId="38" xfId="59" applyNumberFormat="1" applyFont="1" applyFill="1" applyBorder="1" applyAlignment="1">
      <alignment horizontal="left" vertical="top"/>
      <protection/>
    </xf>
    <xf numFmtId="4" fontId="26" fillId="36" borderId="38" xfId="59" applyNumberFormat="1" applyFont="1" applyFill="1" applyBorder="1" applyAlignment="1">
      <alignment horizontal="right" vertical="top"/>
      <protection/>
    </xf>
    <xf numFmtId="0" fontId="6" fillId="0" borderId="39" xfId="0" applyFont="1" applyBorder="1" applyAlignment="1">
      <alignment horizontal="right" vertical="center" wrapText="1"/>
    </xf>
    <xf numFmtId="4" fontId="2" fillId="37" borderId="34" xfId="59" applyNumberFormat="1" applyFont="1" applyFill="1" applyBorder="1" applyAlignment="1">
      <alignment horizontal="right" vertical="top"/>
      <protection/>
    </xf>
    <xf numFmtId="4" fontId="2" fillId="38" borderId="34" xfId="59" applyNumberFormat="1" applyFont="1" applyFill="1" applyBorder="1" applyAlignment="1">
      <alignment horizontal="right" vertical="top"/>
      <protection/>
    </xf>
    <xf numFmtId="4" fontId="2" fillId="39" borderId="34" xfId="59" applyNumberFormat="1" applyFont="1" applyFill="1" applyBorder="1" applyAlignment="1">
      <alignment horizontal="right" vertical="top"/>
      <protection/>
    </xf>
    <xf numFmtId="0" fontId="102" fillId="35" borderId="0" xfId="0" applyFont="1" applyFill="1" applyAlignment="1">
      <alignment/>
    </xf>
    <xf numFmtId="3" fontId="102" fillId="35" borderId="0" xfId="0" applyNumberFormat="1" applyFont="1" applyFill="1" applyAlignment="1">
      <alignment/>
    </xf>
    <xf numFmtId="0" fontId="6" fillId="35" borderId="0" xfId="0" applyFont="1" applyFill="1" applyAlignment="1">
      <alignment horizontal="left" vertical="center" wrapText="1" indent="1"/>
    </xf>
    <xf numFmtId="3" fontId="116" fillId="35" borderId="0" xfId="0" applyNumberFormat="1" applyFont="1" applyFill="1" applyAlignment="1">
      <alignment horizontal="right" vertical="center" wrapText="1"/>
    </xf>
    <xf numFmtId="3" fontId="116" fillId="35" borderId="0" xfId="0" applyNumberFormat="1" applyFont="1" applyFill="1" applyBorder="1" applyAlignment="1">
      <alignment horizontal="right" vertical="center" wrapText="1"/>
    </xf>
    <xf numFmtId="0" fontId="105" fillId="0" borderId="10" xfId="0" applyFont="1" applyBorder="1" applyAlignment="1">
      <alignment/>
    </xf>
    <xf numFmtId="0" fontId="105" fillId="0" borderId="10" xfId="0" applyFont="1" applyBorder="1" applyAlignment="1">
      <alignment horizontal="center" wrapText="1"/>
    </xf>
    <xf numFmtId="0" fontId="105" fillId="0" borderId="10" xfId="0" applyFont="1" applyBorder="1" applyAlignment="1">
      <alignment horizontal="center"/>
    </xf>
    <xf numFmtId="0" fontId="133" fillId="0" borderId="10" xfId="0" applyFont="1" applyFill="1" applyBorder="1" applyAlignment="1">
      <alignment/>
    </xf>
    <xf numFmtId="2" fontId="105" fillId="0" borderId="10" xfId="0" applyNumberFormat="1" applyFont="1" applyBorder="1" applyAlignment="1">
      <alignment horizontal="center"/>
    </xf>
    <xf numFmtId="2" fontId="28" fillId="0" borderId="10" xfId="54" applyNumberFormat="1" applyFont="1" applyFill="1" applyBorder="1" applyAlignment="1">
      <alignment horizontal="center" vertical="top"/>
      <protection/>
    </xf>
    <xf numFmtId="2" fontId="28" fillId="0" borderId="10" xfId="0" applyNumberFormat="1" applyFont="1" applyFill="1" applyBorder="1" applyAlignment="1">
      <alignment horizontal="center"/>
    </xf>
    <xf numFmtId="2" fontId="28" fillId="0" borderId="10" xfId="0" applyNumberFormat="1" applyFont="1" applyBorder="1" applyAlignment="1">
      <alignment horizontal="center"/>
    </xf>
    <xf numFmtId="0" fontId="105" fillId="40" borderId="10" xfId="0" applyFont="1" applyFill="1" applyBorder="1" applyAlignment="1">
      <alignment/>
    </xf>
    <xf numFmtId="2" fontId="105" fillId="40" borderId="10" xfId="0" applyNumberFormat="1" applyFont="1" applyFill="1" applyBorder="1" applyAlignment="1">
      <alignment horizontal="center"/>
    </xf>
    <xf numFmtId="2" fontId="28" fillId="40" borderId="10" xfId="54" applyNumberFormat="1" applyFont="1" applyFill="1" applyBorder="1" applyAlignment="1">
      <alignment horizontal="center" vertical="top"/>
      <protection/>
    </xf>
    <xf numFmtId="2" fontId="28" fillId="40" borderId="10" xfId="0" applyNumberFormat="1" applyFont="1" applyFill="1" applyBorder="1" applyAlignment="1">
      <alignment horizontal="center"/>
    </xf>
    <xf numFmtId="4" fontId="28" fillId="36" borderId="10" xfId="54" applyNumberFormat="1" applyFont="1" applyFill="1" applyBorder="1" applyAlignment="1">
      <alignment horizontal="center" vertical="top"/>
      <protection/>
    </xf>
    <xf numFmtId="2" fontId="28" fillId="36" borderId="10" xfId="54" applyNumberFormat="1" applyFont="1" applyFill="1" applyBorder="1" applyAlignment="1">
      <alignment horizontal="center" vertical="top"/>
      <protection/>
    </xf>
    <xf numFmtId="2" fontId="29" fillId="0" borderId="10" xfId="0" applyNumberFormat="1" applyFont="1" applyBorder="1" applyAlignment="1">
      <alignment horizontal="center"/>
    </xf>
    <xf numFmtId="2" fontId="0" fillId="0" borderId="0" xfId="0" applyNumberFormat="1" applyAlignment="1">
      <alignment/>
    </xf>
    <xf numFmtId="0" fontId="7" fillId="0" borderId="40" xfId="60" applyFont="1" applyBorder="1" applyAlignment="1">
      <alignment horizontal="center" vertical="center"/>
      <protection/>
    </xf>
    <xf numFmtId="0" fontId="7" fillId="0" borderId="41" xfId="60" applyFont="1" applyBorder="1" applyAlignment="1">
      <alignment horizontal="center" vertical="center"/>
      <protection/>
    </xf>
    <xf numFmtId="164" fontId="11" fillId="33" borderId="10" xfId="72" applyNumberFormat="1" applyFont="1" applyFill="1" applyBorder="1" applyAlignment="1">
      <alignment horizontal="left" vertical="center"/>
    </xf>
    <xf numFmtId="172" fontId="120" fillId="0" borderId="0" xfId="70" applyNumberFormat="1" applyFont="1" applyAlignment="1">
      <alignment/>
    </xf>
    <xf numFmtId="0" fontId="11" fillId="0" borderId="10" xfId="53" applyFont="1" applyBorder="1" applyAlignment="1">
      <alignment vertical="top"/>
      <protection/>
    </xf>
    <xf numFmtId="165" fontId="120" fillId="33" borderId="10" xfId="72" applyNumberFormat="1" applyFont="1" applyFill="1" applyBorder="1" applyAlignment="1">
      <alignment/>
    </xf>
    <xf numFmtId="165" fontId="11" fillId="33" borderId="10" xfId="72" applyNumberFormat="1" applyFont="1" applyFill="1" applyBorder="1" applyAlignment="1">
      <alignment/>
    </xf>
    <xf numFmtId="165" fontId="4" fillId="33" borderId="10" xfId="72" applyNumberFormat="1" applyFont="1" applyFill="1" applyBorder="1" applyAlignment="1">
      <alignment/>
    </xf>
    <xf numFmtId="164" fontId="11" fillId="33" borderId="10" xfId="72" applyNumberFormat="1" applyFont="1" applyFill="1" applyBorder="1" applyAlignment="1">
      <alignment/>
    </xf>
    <xf numFmtId="165" fontId="6" fillId="33" borderId="0" xfId="72" applyNumberFormat="1" applyFont="1" applyFill="1" applyBorder="1" applyAlignment="1">
      <alignment horizontal="right" vertical="center" wrapText="1"/>
    </xf>
    <xf numFmtId="0" fontId="5" fillId="0" borderId="23" xfId="60" applyFont="1" applyBorder="1" applyAlignment="1">
      <alignment horizontal="left" vertical="center" wrapText="1"/>
      <protection/>
    </xf>
    <xf numFmtId="164" fontId="5" fillId="35" borderId="10" xfId="72" applyNumberFormat="1" applyFont="1" applyFill="1" applyBorder="1" applyAlignment="1">
      <alignment horizontal="right" vertical="center"/>
    </xf>
    <xf numFmtId="0" fontId="6" fillId="0" borderId="23" xfId="60" applyFont="1" applyBorder="1" applyAlignment="1">
      <alignment horizontal="left" vertical="center" wrapText="1"/>
      <protection/>
    </xf>
    <xf numFmtId="165" fontId="6" fillId="35" borderId="10" xfId="72" applyNumberFormat="1" applyFont="1" applyFill="1" applyBorder="1" applyAlignment="1">
      <alignment horizontal="right" vertical="center"/>
    </xf>
    <xf numFmtId="165" fontId="6" fillId="35" borderId="10" xfId="72" applyNumberFormat="1" applyFont="1" applyFill="1" applyBorder="1" applyAlignment="1">
      <alignment vertical="center"/>
    </xf>
    <xf numFmtId="165" fontId="6" fillId="35" borderId="10" xfId="72" applyNumberFormat="1" applyFont="1" applyFill="1" applyBorder="1" applyAlignment="1">
      <alignment horizontal="right" vertical="center" wrapText="1"/>
    </xf>
    <xf numFmtId="165" fontId="6" fillId="35" borderId="10" xfId="72" applyNumberFormat="1" applyFont="1" applyFill="1" applyBorder="1" applyAlignment="1">
      <alignment vertical="center" wrapText="1"/>
    </xf>
    <xf numFmtId="0" fontId="5" fillId="0" borderId="29" xfId="60" applyFont="1" applyBorder="1" applyAlignment="1">
      <alignment horizontal="left" vertical="center" wrapText="1"/>
      <protection/>
    </xf>
    <xf numFmtId="0" fontId="7" fillId="0" borderId="42" xfId="60" applyFont="1" applyBorder="1" applyAlignment="1">
      <alignment horizontal="center" vertical="center"/>
      <protection/>
    </xf>
    <xf numFmtId="0" fontId="5" fillId="0" borderId="28" xfId="60" applyFont="1" applyBorder="1" applyAlignment="1">
      <alignment horizontal="left" vertical="center" wrapText="1"/>
      <protection/>
    </xf>
    <xf numFmtId="164" fontId="5" fillId="35" borderId="18" xfId="72" applyNumberFormat="1" applyFont="1" applyFill="1" applyBorder="1" applyAlignment="1">
      <alignment horizontal="right" vertical="center"/>
    </xf>
    <xf numFmtId="164" fontId="6" fillId="35" borderId="10" xfId="72" applyNumberFormat="1" applyFont="1" applyFill="1" applyBorder="1" applyAlignment="1">
      <alignment horizontal="left" vertical="center"/>
    </xf>
    <xf numFmtId="164" fontId="5" fillId="16" borderId="13" xfId="72" applyNumberFormat="1" applyFont="1" applyFill="1" applyBorder="1" applyAlignment="1">
      <alignment horizontal="right" vertical="center"/>
    </xf>
    <xf numFmtId="164" fontId="5" fillId="16" borderId="10" xfId="72" applyNumberFormat="1" applyFont="1" applyFill="1" applyBorder="1" applyAlignment="1">
      <alignment horizontal="right" vertical="center"/>
    </xf>
    <xf numFmtId="0" fontId="5" fillId="0" borderId="0" xfId="60" applyFont="1" applyAlignment="1">
      <alignment/>
      <protection/>
    </xf>
    <xf numFmtId="0" fontId="5" fillId="0" borderId="0" xfId="60" applyFont="1" applyAlignment="1">
      <alignment horizontal="right"/>
      <protection/>
    </xf>
    <xf numFmtId="0" fontId="6" fillId="0" borderId="43" xfId="60" applyFont="1" applyBorder="1" applyAlignment="1">
      <alignment/>
      <protection/>
    </xf>
    <xf numFmtId="0" fontId="26" fillId="36" borderId="38" xfId="61" applyNumberFormat="1" applyFont="1" applyFill="1" applyBorder="1" applyAlignment="1">
      <alignment horizontal="left" vertical="top" wrapText="1"/>
      <protection/>
    </xf>
    <xf numFmtId="0" fontId="26" fillId="36" borderId="34" xfId="61" applyNumberFormat="1" applyFont="1" applyFill="1" applyBorder="1" applyAlignment="1">
      <alignment horizontal="left" vertical="top" wrapText="1"/>
      <protection/>
    </xf>
    <xf numFmtId="0" fontId="26" fillId="36" borderId="34" xfId="61" applyNumberFormat="1" applyFont="1" applyFill="1" applyBorder="1" applyAlignment="1">
      <alignment horizontal="right" vertical="top"/>
      <protection/>
    </xf>
    <xf numFmtId="4" fontId="26" fillId="36" borderId="34" xfId="61" applyNumberFormat="1" applyFont="1" applyFill="1" applyBorder="1" applyAlignment="1">
      <alignment horizontal="right" vertical="top"/>
      <protection/>
    </xf>
    <xf numFmtId="1" fontId="27" fillId="36" borderId="34" xfId="61" applyNumberFormat="1" applyFont="1" applyFill="1" applyBorder="1" applyAlignment="1">
      <alignment horizontal="left" vertical="top" wrapText="1" indent="2"/>
      <protection/>
    </xf>
    <xf numFmtId="4" fontId="27" fillId="36" borderId="34" xfId="61" applyNumberFormat="1" applyFont="1" applyFill="1" applyBorder="1" applyAlignment="1">
      <alignment horizontal="right" vertical="top"/>
      <protection/>
    </xf>
    <xf numFmtId="0" fontId="27" fillId="36" borderId="34" xfId="61" applyNumberFormat="1" applyFont="1" applyFill="1" applyBorder="1" applyAlignment="1">
      <alignment horizontal="right" vertical="top"/>
      <protection/>
    </xf>
    <xf numFmtId="0" fontId="2" fillId="0" borderId="34" xfId="61" applyNumberFormat="1" applyFont="1" applyBorder="1" applyAlignment="1">
      <alignment horizontal="left" vertical="top" wrapText="1" indent="4"/>
      <protection/>
    </xf>
    <xf numFmtId="4" fontId="2" fillId="0" borderId="34" xfId="61" applyNumberFormat="1" applyFont="1" applyBorder="1" applyAlignment="1">
      <alignment horizontal="right" vertical="top"/>
      <protection/>
    </xf>
    <xf numFmtId="0" fontId="2" fillId="0" borderId="34" xfId="61" applyNumberFormat="1" applyFont="1" applyBorder="1" applyAlignment="1">
      <alignment horizontal="right" vertical="top"/>
      <protection/>
    </xf>
    <xf numFmtId="2" fontId="2" fillId="0" borderId="34" xfId="61" applyNumberFormat="1" applyFont="1" applyBorder="1" applyAlignment="1">
      <alignment horizontal="right" vertical="top"/>
      <protection/>
    </xf>
    <xf numFmtId="0" fontId="26" fillId="36" borderId="38" xfId="61" applyNumberFormat="1" applyFont="1" applyFill="1" applyBorder="1" applyAlignment="1">
      <alignment horizontal="left" vertical="top"/>
      <protection/>
    </xf>
    <xf numFmtId="0" fontId="26" fillId="36" borderId="38" xfId="61" applyNumberFormat="1" applyFont="1" applyFill="1" applyBorder="1" applyAlignment="1">
      <alignment horizontal="right" vertical="top"/>
      <protection/>
    </xf>
    <xf numFmtId="4" fontId="26" fillId="36" borderId="38" xfId="61" applyNumberFormat="1" applyFont="1" applyFill="1" applyBorder="1" applyAlignment="1">
      <alignment horizontal="right" vertical="top"/>
      <protection/>
    </xf>
    <xf numFmtId="165" fontId="134" fillId="33" borderId="0" xfId="0" applyNumberFormat="1" applyFont="1" applyFill="1" applyAlignment="1">
      <alignment horizontal="center"/>
    </xf>
    <xf numFmtId="165" fontId="11" fillId="33" borderId="20" xfId="72" applyNumberFormat="1" applyFont="1" applyFill="1" applyBorder="1" applyAlignment="1">
      <alignment horizontal="center" vertical="center"/>
    </xf>
    <xf numFmtId="165" fontId="11" fillId="33" borderId="23" xfId="72" applyNumberFormat="1" applyFont="1" applyFill="1" applyBorder="1" applyAlignment="1">
      <alignment horizontal="center" vertical="center"/>
    </xf>
    <xf numFmtId="165" fontId="11" fillId="33" borderId="20" xfId="72" applyNumberFormat="1" applyFont="1" applyFill="1" applyBorder="1" applyAlignment="1">
      <alignment horizontal="center" vertical="top"/>
    </xf>
    <xf numFmtId="165" fontId="11" fillId="33" borderId="23" xfId="72" applyNumberFormat="1" applyFont="1" applyFill="1" applyBorder="1" applyAlignment="1">
      <alignment horizontal="center" vertical="top"/>
    </xf>
    <xf numFmtId="0" fontId="11" fillId="33" borderId="23" xfId="53" applyFont="1" applyFill="1" applyBorder="1" applyAlignment="1">
      <alignment horizontal="center"/>
      <protection/>
    </xf>
    <xf numFmtId="165" fontId="4" fillId="33" borderId="27" xfId="72" applyNumberFormat="1" applyFont="1" applyFill="1" applyBorder="1" applyAlignment="1">
      <alignment horizontal="center" vertical="center"/>
    </xf>
    <xf numFmtId="165" fontId="4" fillId="33" borderId="23" xfId="72" applyNumberFormat="1" applyFont="1" applyFill="1" applyBorder="1" applyAlignment="1">
      <alignment horizontal="center" vertical="center"/>
    </xf>
    <xf numFmtId="165" fontId="4" fillId="33" borderId="23" xfId="72" applyNumberFormat="1" applyFont="1" applyFill="1" applyBorder="1" applyAlignment="1">
      <alignment horizontal="center" vertical="top"/>
    </xf>
    <xf numFmtId="0" fontId="11" fillId="33" borderId="23" xfId="53" applyFont="1" applyFill="1" applyBorder="1" applyAlignment="1">
      <alignment horizontal="center" vertical="top"/>
      <protection/>
    </xf>
    <xf numFmtId="164" fontId="4" fillId="33" borderId="27" xfId="72" applyNumberFormat="1" applyFont="1" applyFill="1" applyBorder="1" applyAlignment="1">
      <alignment horizontal="center" vertical="center"/>
    </xf>
    <xf numFmtId="164" fontId="11" fillId="33" borderId="27" xfId="72" applyNumberFormat="1" applyFont="1" applyFill="1" applyBorder="1" applyAlignment="1">
      <alignment horizontal="center" vertical="center"/>
    </xf>
    <xf numFmtId="164" fontId="11" fillId="6" borderId="27" xfId="72" applyNumberFormat="1" applyFont="1" applyFill="1" applyBorder="1" applyAlignment="1">
      <alignment horizontal="center" vertical="center"/>
    </xf>
    <xf numFmtId="165" fontId="11" fillId="6" borderId="44" xfId="72" applyNumberFormat="1" applyFont="1" applyFill="1" applyBorder="1" applyAlignment="1">
      <alignment horizontal="center" vertical="center"/>
    </xf>
    <xf numFmtId="165" fontId="11" fillId="33" borderId="27" xfId="72" applyNumberFormat="1" applyFont="1" applyFill="1" applyBorder="1" applyAlignment="1">
      <alignment horizontal="center" vertical="center"/>
    </xf>
    <xf numFmtId="165" fontId="122" fillId="33" borderId="44" xfId="72" applyNumberFormat="1" applyFont="1" applyFill="1" applyBorder="1" applyAlignment="1">
      <alignment horizontal="right" vertical="center"/>
    </xf>
    <xf numFmtId="165" fontId="122" fillId="33" borderId="25" xfId="72" applyNumberFormat="1" applyFont="1" applyFill="1" applyBorder="1" applyAlignment="1">
      <alignment horizontal="right" vertical="center"/>
    </xf>
    <xf numFmtId="164" fontId="11" fillId="33" borderId="23" xfId="72" applyNumberFormat="1" applyFont="1" applyFill="1" applyBorder="1" applyAlignment="1">
      <alignment horizontal="center" vertical="center"/>
    </xf>
    <xf numFmtId="164" fontId="11" fillId="33" borderId="44" xfId="72" applyNumberFormat="1" applyFont="1" applyFill="1" applyBorder="1" applyAlignment="1">
      <alignment horizontal="center" vertical="center"/>
    </xf>
    <xf numFmtId="165" fontId="122" fillId="33" borderId="25" xfId="72" applyNumberFormat="1" applyFont="1" applyFill="1" applyBorder="1" applyAlignment="1">
      <alignment horizontal="right" vertical="top"/>
    </xf>
    <xf numFmtId="164" fontId="4" fillId="33" borderId="23" xfId="72" applyNumberFormat="1" applyFont="1" applyFill="1" applyBorder="1" applyAlignment="1">
      <alignment horizontal="center" vertical="center"/>
    </xf>
    <xf numFmtId="164" fontId="4" fillId="33" borderId="0" xfId="72" applyNumberFormat="1" applyFont="1" applyFill="1" applyBorder="1" applyAlignment="1">
      <alignment horizontal="center" vertical="center"/>
    </xf>
    <xf numFmtId="164" fontId="4" fillId="33" borderId="44" xfId="72" applyNumberFormat="1" applyFont="1" applyFill="1" applyBorder="1" applyAlignment="1">
      <alignment horizontal="center" vertical="center"/>
    </xf>
    <xf numFmtId="0" fontId="4" fillId="33" borderId="10" xfId="53" applyFont="1" applyFill="1" applyBorder="1" applyAlignment="1">
      <alignment vertical="center"/>
      <protection/>
    </xf>
    <xf numFmtId="0" fontId="4" fillId="33" borderId="23" xfId="53" applyFont="1" applyFill="1" applyBorder="1" applyAlignment="1">
      <alignment horizontal="center" vertical="center"/>
      <protection/>
    </xf>
    <xf numFmtId="4" fontId="30" fillId="36" borderId="38" xfId="61" applyNumberFormat="1" applyFont="1" applyFill="1" applyBorder="1" applyAlignment="1">
      <alignment horizontal="right" vertical="top"/>
      <protection/>
    </xf>
    <xf numFmtId="0" fontId="6" fillId="33" borderId="0" xfId="53" applyFont="1" applyFill="1">
      <alignment horizontal="left"/>
      <protection/>
    </xf>
    <xf numFmtId="0" fontId="0" fillId="33" borderId="0" xfId="0" applyFill="1" applyAlignment="1">
      <alignment/>
    </xf>
    <xf numFmtId="1" fontId="26" fillId="36" borderId="34" xfId="61" applyNumberFormat="1" applyFont="1" applyFill="1" applyBorder="1" applyAlignment="1">
      <alignment horizontal="left" vertical="top" wrapText="1"/>
      <protection/>
    </xf>
    <xf numFmtId="0" fontId="2" fillId="0" borderId="34" xfId="61" applyNumberFormat="1" applyFont="1" applyBorder="1" applyAlignment="1">
      <alignment horizontal="left" vertical="top" wrapText="1" indent="2"/>
      <protection/>
    </xf>
    <xf numFmtId="0" fontId="2" fillId="0" borderId="34" xfId="61" applyNumberFormat="1" applyFont="1" applyBorder="1" applyAlignment="1">
      <alignment horizontal="left" vertical="top"/>
      <protection/>
    </xf>
    <xf numFmtId="4" fontId="31" fillId="0" borderId="34" xfId="61" applyNumberFormat="1" applyFont="1" applyBorder="1" applyAlignment="1">
      <alignment horizontal="right" vertical="top"/>
      <protection/>
    </xf>
    <xf numFmtId="0" fontId="2" fillId="0" borderId="0" xfId="53" applyAlignment="1">
      <alignment/>
      <protection/>
    </xf>
    <xf numFmtId="0" fontId="25" fillId="0" borderId="29" xfId="53" applyFont="1" applyBorder="1" applyAlignment="1">
      <alignment horizontal="center"/>
      <protection/>
    </xf>
    <xf numFmtId="0" fontId="25" fillId="0" borderId="22" xfId="53" applyFont="1" applyBorder="1" applyAlignment="1">
      <alignment horizontal="center"/>
      <protection/>
    </xf>
    <xf numFmtId="0" fontId="25" fillId="0" borderId="45" xfId="53" applyFont="1" applyBorder="1" applyAlignment="1">
      <alignment horizontal="center"/>
      <protection/>
    </xf>
    <xf numFmtId="0" fontId="32" fillId="0" borderId="10" xfId="53" applyFont="1" applyBorder="1" applyAlignment="1">
      <alignment horizontal="right" vertical="top"/>
      <protection/>
    </xf>
    <xf numFmtId="166" fontId="32" fillId="0" borderId="10" xfId="53" applyNumberFormat="1" applyFont="1" applyBorder="1" applyAlignment="1">
      <alignment horizontal="right" vertical="top"/>
      <protection/>
    </xf>
    <xf numFmtId="166" fontId="32" fillId="0" borderId="20" xfId="53" applyNumberFormat="1" applyFont="1" applyBorder="1" applyAlignment="1">
      <alignment horizontal="right" vertical="top"/>
      <protection/>
    </xf>
    <xf numFmtId="0" fontId="25" fillId="0" borderId="36" xfId="53" applyFont="1" applyBorder="1" applyAlignment="1">
      <alignment horizontal="right" vertical="top"/>
      <protection/>
    </xf>
    <xf numFmtId="166" fontId="25" fillId="0" borderId="36" xfId="53" applyNumberFormat="1" applyFont="1" applyBorder="1" applyAlignment="1">
      <alignment horizontal="right" vertical="top"/>
      <protection/>
    </xf>
    <xf numFmtId="0" fontId="25" fillId="0" borderId="37" xfId="53" applyFont="1" applyBorder="1" applyAlignment="1">
      <alignment horizontal="right" vertical="top"/>
      <protection/>
    </xf>
    <xf numFmtId="167" fontId="25" fillId="0" borderId="36" xfId="53" applyNumberFormat="1" applyFont="1" applyBorder="1" applyAlignment="1">
      <alignment horizontal="right" vertical="top"/>
      <protection/>
    </xf>
    <xf numFmtId="166" fontId="25" fillId="0" borderId="37" xfId="53" applyNumberFormat="1" applyFont="1" applyBorder="1" applyAlignment="1">
      <alignment horizontal="right" vertical="top"/>
      <protection/>
    </xf>
    <xf numFmtId="168" fontId="25" fillId="0" borderId="36" xfId="53" applyNumberFormat="1" applyFont="1" applyBorder="1" applyAlignment="1">
      <alignment horizontal="right" vertical="top"/>
      <protection/>
    </xf>
    <xf numFmtId="167" fontId="25" fillId="0" borderId="37" xfId="53" applyNumberFormat="1" applyFont="1" applyBorder="1" applyAlignment="1">
      <alignment horizontal="right" vertical="top"/>
      <protection/>
    </xf>
    <xf numFmtId="0" fontId="32" fillId="0" borderId="46" xfId="53" applyFont="1" applyBorder="1" applyAlignment="1">
      <alignment horizontal="right" vertical="top"/>
      <protection/>
    </xf>
    <xf numFmtId="166" fontId="32" fillId="0" borderId="47" xfId="53" applyNumberFormat="1" applyFont="1" applyBorder="1" applyAlignment="1">
      <alignment horizontal="right" vertical="top"/>
      <protection/>
    </xf>
    <xf numFmtId="0" fontId="32" fillId="0" borderId="47" xfId="53" applyFont="1" applyBorder="1" applyAlignment="1">
      <alignment horizontal="right" vertical="top"/>
      <protection/>
    </xf>
    <xf numFmtId="166" fontId="32" fillId="0" borderId="48" xfId="53" applyNumberFormat="1" applyFont="1" applyBorder="1" applyAlignment="1">
      <alignment horizontal="right" vertical="top"/>
      <protection/>
    </xf>
    <xf numFmtId="0" fontId="32" fillId="0" borderId="0" xfId="53" applyFont="1" applyAlignment="1">
      <alignment horizontal="left"/>
      <protection/>
    </xf>
    <xf numFmtId="0" fontId="33" fillId="0" borderId="0" xfId="53" applyFont="1" applyAlignment="1">
      <alignment horizontal="centerContinuous"/>
      <protection/>
    </xf>
    <xf numFmtId="0" fontId="32" fillId="0" borderId="0" xfId="53" applyFont="1" applyAlignment="1">
      <alignment horizontal="centerContinuous"/>
      <protection/>
    </xf>
    <xf numFmtId="0" fontId="25" fillId="0" borderId="49" xfId="53" applyFont="1" applyBorder="1" applyAlignment="1">
      <alignment/>
      <protection/>
    </xf>
    <xf numFmtId="0" fontId="25" fillId="0" borderId="50" xfId="53" applyFont="1" applyBorder="1" applyAlignment="1">
      <alignment/>
      <protection/>
    </xf>
    <xf numFmtId="0" fontId="32" fillId="0" borderId="24" xfId="53" applyFont="1" applyBorder="1" applyAlignment="1">
      <alignment vertical="top" wrapText="1"/>
      <protection/>
    </xf>
    <xf numFmtId="0" fontId="25" fillId="0" borderId="35" xfId="53" applyFont="1" applyBorder="1" applyAlignment="1">
      <alignment vertical="top" wrapText="1"/>
      <protection/>
    </xf>
    <xf numFmtId="0" fontId="32" fillId="0" borderId="51" xfId="53" applyFont="1" applyBorder="1" applyAlignment="1">
      <alignment vertical="top"/>
      <protection/>
    </xf>
    <xf numFmtId="0" fontId="25" fillId="0" borderId="10" xfId="53" applyFont="1" applyBorder="1" applyAlignment="1">
      <alignment vertical="top" wrapText="1"/>
      <protection/>
    </xf>
    <xf numFmtId="0" fontId="25" fillId="0" borderId="10" xfId="53" applyFont="1" applyBorder="1" applyAlignment="1">
      <alignment horizontal="right" vertical="top"/>
      <protection/>
    </xf>
    <xf numFmtId="167" fontId="25" fillId="0" borderId="10" xfId="53" applyNumberFormat="1" applyFont="1" applyBorder="1" applyAlignment="1">
      <alignment horizontal="right" vertical="top"/>
      <protection/>
    </xf>
    <xf numFmtId="166" fontId="25" fillId="0" borderId="10" xfId="53" applyNumberFormat="1" applyFont="1" applyBorder="1" applyAlignment="1">
      <alignment horizontal="right" vertical="top"/>
      <protection/>
    </xf>
    <xf numFmtId="168" fontId="25" fillId="0" borderId="10" xfId="53" applyNumberFormat="1" applyFont="1" applyBorder="1" applyAlignment="1">
      <alignment horizontal="right" vertical="top"/>
      <protection/>
    </xf>
    <xf numFmtId="0" fontId="0" fillId="0" borderId="10" xfId="0" applyBorder="1" applyAlignment="1">
      <alignment/>
    </xf>
    <xf numFmtId="164" fontId="4" fillId="11" borderId="10" xfId="72" applyNumberFormat="1" applyFont="1" applyFill="1" applyBorder="1" applyAlignment="1">
      <alignment horizontal="center" wrapText="1"/>
    </xf>
    <xf numFmtId="165" fontId="4" fillId="11" borderId="10" xfId="72" applyNumberFormat="1" applyFont="1" applyFill="1" applyBorder="1" applyAlignment="1">
      <alignment vertical="center"/>
    </xf>
    <xf numFmtId="0" fontId="0" fillId="33" borderId="0" xfId="0" applyFont="1" applyFill="1" applyAlignment="1">
      <alignment horizontal="center"/>
    </xf>
    <xf numFmtId="0" fontId="0" fillId="33" borderId="0" xfId="0" applyFont="1" applyFill="1" applyAlignment="1">
      <alignment/>
    </xf>
    <xf numFmtId="0" fontId="0" fillId="33" borderId="0" xfId="0" applyFont="1" applyFill="1" applyAlignment="1">
      <alignment horizontal="right"/>
    </xf>
    <xf numFmtId="0" fontId="11" fillId="33" borderId="10" xfId="53" applyFont="1" applyFill="1" applyBorder="1" applyAlignment="1">
      <alignment horizontal="center" vertical="center"/>
      <protection/>
    </xf>
    <xf numFmtId="165" fontId="120" fillId="33" borderId="10" xfId="72" applyNumberFormat="1" applyFont="1" applyFill="1" applyBorder="1" applyAlignment="1">
      <alignment horizontal="right" vertical="center"/>
    </xf>
    <xf numFmtId="0" fontId="4" fillId="33" borderId="10" xfId="53" applyFont="1" applyFill="1" applyBorder="1" applyAlignment="1">
      <alignment horizontal="center" vertical="center"/>
      <protection/>
    </xf>
    <xf numFmtId="0" fontId="11" fillId="33" borderId="10" xfId="53" applyFont="1" applyFill="1" applyBorder="1" applyAlignment="1">
      <alignment horizontal="center" vertical="center" wrapText="1"/>
      <protection/>
    </xf>
    <xf numFmtId="165" fontId="0" fillId="33" borderId="0" xfId="0" applyNumberFormat="1" applyFill="1" applyAlignment="1">
      <alignment/>
    </xf>
    <xf numFmtId="0" fontId="120" fillId="33" borderId="10" xfId="0" applyFont="1" applyFill="1" applyBorder="1" applyAlignment="1">
      <alignment horizontal="center"/>
    </xf>
    <xf numFmtId="165" fontId="120" fillId="33" borderId="10" xfId="72" applyNumberFormat="1" applyFont="1" applyFill="1" applyBorder="1" applyAlignment="1">
      <alignment horizontal="right" vertical="center" wrapText="1"/>
    </xf>
    <xf numFmtId="0" fontId="120" fillId="33" borderId="0" xfId="0" applyFont="1" applyFill="1" applyAlignment="1">
      <alignment/>
    </xf>
    <xf numFmtId="4" fontId="2" fillId="33" borderId="34" xfId="54" applyNumberFormat="1" applyFont="1" applyFill="1" applyBorder="1" applyAlignment="1">
      <alignment horizontal="right" vertical="top"/>
      <protection/>
    </xf>
    <xf numFmtId="4" fontId="0" fillId="33" borderId="0" xfId="0" applyNumberFormat="1" applyFill="1" applyAlignment="1">
      <alignment/>
    </xf>
    <xf numFmtId="0" fontId="135" fillId="33" borderId="0" xfId="0" applyFont="1" applyFill="1" applyAlignment="1">
      <alignment horizontal="center"/>
    </xf>
    <xf numFmtId="164" fontId="28" fillId="33" borderId="10" xfId="72" applyNumberFormat="1" applyFont="1" applyFill="1" applyBorder="1" applyAlignment="1">
      <alignment/>
    </xf>
    <xf numFmtId="165" fontId="15" fillId="33" borderId="10" xfId="72" applyNumberFormat="1" applyFont="1" applyFill="1" applyBorder="1" applyAlignment="1">
      <alignment/>
    </xf>
    <xf numFmtId="165" fontId="28" fillId="33" borderId="10" xfId="72" applyNumberFormat="1" applyFont="1" applyFill="1" applyBorder="1" applyAlignment="1">
      <alignment vertical="center"/>
    </xf>
    <xf numFmtId="165" fontId="15" fillId="33" borderId="10" xfId="72" applyNumberFormat="1" applyFont="1" applyFill="1" applyBorder="1" applyAlignment="1">
      <alignment horizontal="center" vertical="center"/>
    </xf>
    <xf numFmtId="164" fontId="4" fillId="11" borderId="10" xfId="72" applyNumberFormat="1" applyFont="1" applyFill="1" applyBorder="1" applyAlignment="1">
      <alignment horizontal="center" vertical="center"/>
    </xf>
    <xf numFmtId="164" fontId="4" fillId="11" borderId="52" xfId="72" applyNumberFormat="1" applyFont="1" applyFill="1" applyBorder="1" applyAlignment="1">
      <alignment horizontal="center" vertical="center" wrapText="1"/>
    </xf>
    <xf numFmtId="164" fontId="4" fillId="11" borderId="18" xfId="72" applyNumberFormat="1" applyFont="1" applyFill="1" applyBorder="1" applyAlignment="1">
      <alignment horizontal="center" vertical="center" wrapText="1"/>
    </xf>
    <xf numFmtId="164" fontId="4" fillId="11" borderId="19" xfId="72" applyNumberFormat="1" applyFont="1" applyFill="1" applyBorder="1" applyAlignment="1">
      <alignment horizontal="center" vertical="center" wrapText="1"/>
    </xf>
    <xf numFmtId="164" fontId="4" fillId="11" borderId="28" xfId="72" applyNumberFormat="1" applyFont="1" applyFill="1" applyBorder="1" applyAlignment="1">
      <alignment horizontal="center" vertical="center" wrapText="1"/>
    </xf>
    <xf numFmtId="164" fontId="4" fillId="11" borderId="18" xfId="72" applyNumberFormat="1" applyFont="1" applyFill="1" applyBorder="1" applyAlignment="1">
      <alignment horizontal="center" wrapText="1"/>
    </xf>
    <xf numFmtId="164" fontId="4" fillId="11" borderId="52" xfId="72" applyNumberFormat="1" applyFont="1" applyFill="1" applyBorder="1" applyAlignment="1">
      <alignment horizontal="center" wrapText="1"/>
    </xf>
    <xf numFmtId="0" fontId="4" fillId="11" borderId="10" xfId="53" applyFont="1" applyFill="1" applyBorder="1" applyAlignment="1">
      <alignment horizontal="center" vertical="center"/>
      <protection/>
    </xf>
    <xf numFmtId="165" fontId="119" fillId="11" borderId="10" xfId="72" applyNumberFormat="1" applyFont="1" applyFill="1" applyBorder="1" applyAlignment="1">
      <alignment horizontal="right" vertical="center"/>
    </xf>
    <xf numFmtId="165" fontId="4" fillId="11" borderId="10" xfId="72" applyNumberFormat="1" applyFont="1" applyFill="1" applyBorder="1" applyAlignment="1">
      <alignment horizontal="right" vertical="center"/>
    </xf>
    <xf numFmtId="165" fontId="15" fillId="11" borderId="10" xfId="72" applyNumberFormat="1" applyFont="1" applyFill="1" applyBorder="1" applyAlignment="1">
      <alignment vertical="center"/>
    </xf>
    <xf numFmtId="0" fontId="4" fillId="11" borderId="10" xfId="53" applyFont="1" applyFill="1" applyBorder="1" applyAlignment="1">
      <alignment horizontal="center" vertical="center" wrapText="1"/>
      <protection/>
    </xf>
    <xf numFmtId="165" fontId="119" fillId="11" borderId="10" xfId="72" applyNumberFormat="1" applyFont="1" applyFill="1" applyBorder="1" applyAlignment="1">
      <alignment vertical="center"/>
    </xf>
    <xf numFmtId="165" fontId="4" fillId="11" borderId="10" xfId="72" applyNumberFormat="1" applyFont="1" applyFill="1" applyBorder="1" applyAlignment="1">
      <alignment horizontal="center" vertical="center"/>
    </xf>
    <xf numFmtId="165" fontId="133" fillId="11" borderId="10" xfId="72" applyNumberFormat="1" applyFont="1" applyFill="1" applyBorder="1" applyAlignment="1">
      <alignment vertical="center"/>
    </xf>
    <xf numFmtId="0" fontId="2" fillId="33" borderId="53" xfId="54" applyNumberFormat="1" applyFont="1" applyFill="1" applyBorder="1" applyAlignment="1">
      <alignment horizontal="left" vertical="top"/>
      <protection/>
    </xf>
    <xf numFmtId="4" fontId="2" fillId="33" borderId="0" xfId="54" applyNumberFormat="1" applyFont="1" applyFill="1" applyBorder="1" applyAlignment="1">
      <alignment horizontal="right" vertical="top"/>
      <protection/>
    </xf>
    <xf numFmtId="0" fontId="2" fillId="33" borderId="0" xfId="54" applyNumberFormat="1" applyFont="1" applyFill="1" applyBorder="1" applyAlignment="1">
      <alignment horizontal="left" vertical="top"/>
      <protection/>
    </xf>
    <xf numFmtId="164" fontId="4" fillId="11" borderId="23" xfId="72" applyNumberFormat="1" applyFont="1" applyFill="1" applyBorder="1" applyAlignment="1">
      <alignment horizontal="center" vertical="center"/>
    </xf>
    <xf numFmtId="164" fontId="4" fillId="11" borderId="54" xfId="72" applyNumberFormat="1" applyFont="1" applyFill="1" applyBorder="1" applyAlignment="1">
      <alignment horizontal="center" vertical="center" wrapText="1"/>
    </xf>
    <xf numFmtId="164" fontId="4" fillId="11" borderId="10" xfId="72" applyNumberFormat="1" applyFont="1" applyFill="1" applyBorder="1" applyAlignment="1">
      <alignment horizontal="center" vertical="center" wrapText="1"/>
    </xf>
    <xf numFmtId="164" fontId="4" fillId="11" borderId="24" xfId="72" applyNumberFormat="1" applyFont="1" applyFill="1" applyBorder="1" applyAlignment="1">
      <alignment horizontal="center" vertical="center" wrapText="1"/>
    </xf>
    <xf numFmtId="164" fontId="4" fillId="11" borderId="23" xfId="72" applyNumberFormat="1" applyFont="1" applyFill="1" applyBorder="1" applyAlignment="1">
      <alignment horizontal="center" vertical="center" wrapText="1"/>
    </xf>
    <xf numFmtId="164" fontId="4" fillId="11" borderId="20" xfId="72" applyNumberFormat="1" applyFont="1" applyFill="1" applyBorder="1" applyAlignment="1">
      <alignment horizontal="center" vertical="center" wrapText="1"/>
    </xf>
    <xf numFmtId="0" fontId="4" fillId="11" borderId="23" xfId="53" applyFont="1" applyFill="1" applyBorder="1" applyAlignment="1">
      <alignment horizontal="center" vertical="center"/>
      <protection/>
    </xf>
    <xf numFmtId="165" fontId="122" fillId="11" borderId="24" xfId="72" applyNumberFormat="1" applyFont="1" applyFill="1" applyBorder="1" applyAlignment="1">
      <alignment horizontal="right" vertical="center"/>
    </xf>
    <xf numFmtId="165" fontId="122" fillId="11" borderId="44" xfId="72" applyNumberFormat="1" applyFont="1" applyFill="1" applyBorder="1" applyAlignment="1">
      <alignment horizontal="right" vertical="center"/>
    </xf>
    <xf numFmtId="165" fontId="4" fillId="11" borderId="23" xfId="72" applyNumberFormat="1" applyFont="1" applyFill="1" applyBorder="1" applyAlignment="1">
      <alignment horizontal="center" vertical="center"/>
    </xf>
    <xf numFmtId="165" fontId="11" fillId="11" borderId="10" xfId="72" applyNumberFormat="1" applyFont="1" applyFill="1" applyBorder="1" applyAlignment="1">
      <alignment horizontal="center" vertical="center"/>
    </xf>
    <xf numFmtId="165" fontId="4" fillId="33" borderId="20" xfId="72" applyNumberFormat="1" applyFont="1" applyFill="1" applyBorder="1" applyAlignment="1">
      <alignment horizontal="center" vertical="center"/>
    </xf>
    <xf numFmtId="164" fontId="122" fillId="11" borderId="24" xfId="72" applyNumberFormat="1" applyFont="1" applyFill="1" applyBorder="1" applyAlignment="1">
      <alignment horizontal="center" vertical="center" wrapText="1"/>
    </xf>
    <xf numFmtId="164" fontId="4" fillId="11" borderId="24" xfId="72" applyNumberFormat="1" applyFont="1" applyFill="1" applyBorder="1" applyAlignment="1">
      <alignment horizontal="center" vertical="center"/>
    </xf>
    <xf numFmtId="165" fontId="122" fillId="11" borderId="55" xfId="72" applyNumberFormat="1" applyFont="1" applyFill="1" applyBorder="1" applyAlignment="1">
      <alignment horizontal="right" vertical="center"/>
    </xf>
    <xf numFmtId="165" fontId="122" fillId="11" borderId="56" xfId="72" applyNumberFormat="1" applyFont="1" applyFill="1" applyBorder="1" applyAlignment="1">
      <alignment horizontal="right" vertical="center"/>
    </xf>
    <xf numFmtId="165" fontId="122" fillId="11" borderId="56" xfId="72" applyNumberFormat="1" applyFont="1" applyFill="1" applyBorder="1" applyAlignment="1">
      <alignment horizontal="center" vertical="center"/>
    </xf>
    <xf numFmtId="0" fontId="28" fillId="33" borderId="0" xfId="0" applyFont="1" applyFill="1" applyAlignment="1">
      <alignment/>
    </xf>
    <xf numFmtId="0" fontId="28" fillId="0" borderId="0" xfId="0" applyFont="1" applyAlignment="1">
      <alignment/>
    </xf>
    <xf numFmtId="165" fontId="4" fillId="33" borderId="24" xfId="72" applyNumberFormat="1" applyFont="1" applyFill="1" applyBorder="1" applyAlignment="1">
      <alignment horizontal="right" vertical="center"/>
    </xf>
    <xf numFmtId="165" fontId="4" fillId="33" borderId="24" xfId="72" applyNumberFormat="1" applyFont="1" applyFill="1" applyBorder="1" applyAlignment="1">
      <alignment horizontal="right" vertical="top"/>
    </xf>
    <xf numFmtId="165" fontId="4" fillId="6" borderId="25" xfId="72" applyNumberFormat="1" applyFont="1" applyFill="1" applyBorder="1" applyAlignment="1">
      <alignment horizontal="center" vertical="top"/>
    </xf>
    <xf numFmtId="0" fontId="15" fillId="33" borderId="0" xfId="0" applyFont="1" applyFill="1" applyAlignment="1">
      <alignment/>
    </xf>
    <xf numFmtId="0" fontId="15" fillId="0" borderId="0" xfId="0" applyFont="1" applyAlignment="1">
      <alignment/>
    </xf>
    <xf numFmtId="165" fontId="4" fillId="33" borderId="44" xfId="72" applyNumberFormat="1" applyFont="1" applyFill="1" applyBorder="1" applyAlignment="1">
      <alignment horizontal="right" vertical="top"/>
    </xf>
    <xf numFmtId="165" fontId="105" fillId="33" borderId="0" xfId="0" applyNumberFormat="1" applyFont="1" applyFill="1" applyAlignment="1">
      <alignment horizontal="center"/>
    </xf>
    <xf numFmtId="0" fontId="119" fillId="33" borderId="0" xfId="53" applyFont="1" applyFill="1" applyAlignment="1">
      <alignment horizontal="left" vertical="center"/>
      <protection/>
    </xf>
    <xf numFmtId="0" fontId="116" fillId="33" borderId="0" xfId="53" applyFont="1" applyFill="1" applyAlignment="1">
      <alignment/>
      <protection/>
    </xf>
    <xf numFmtId="0" fontId="119" fillId="33" borderId="0" xfId="53" applyFont="1" applyFill="1" applyAlignment="1">
      <alignment/>
      <protection/>
    </xf>
    <xf numFmtId="0" fontId="136" fillId="33" borderId="0" xfId="53" applyFont="1" applyFill="1" applyAlignment="1">
      <alignment horizontal="right"/>
      <protection/>
    </xf>
    <xf numFmtId="164" fontId="6" fillId="33" borderId="10" xfId="72" applyNumberFormat="1" applyFont="1" applyFill="1" applyBorder="1" applyAlignment="1">
      <alignment horizontal="right" vertical="center"/>
    </xf>
    <xf numFmtId="164" fontId="5" fillId="33" borderId="10" xfId="72" applyNumberFormat="1" applyFont="1" applyFill="1" applyBorder="1" applyAlignment="1">
      <alignment horizontal="center" vertical="center"/>
    </xf>
    <xf numFmtId="165" fontId="103" fillId="33" borderId="0" xfId="0" applyNumberFormat="1" applyFont="1" applyFill="1" applyAlignment="1">
      <alignment/>
    </xf>
    <xf numFmtId="0" fontId="6" fillId="33" borderId="0" xfId="53" applyFont="1" applyFill="1" applyBorder="1" applyAlignment="1">
      <alignment horizontal="center" vertical="top"/>
      <protection/>
    </xf>
    <xf numFmtId="164" fontId="6" fillId="33" borderId="0" xfId="53" applyNumberFormat="1" applyFont="1" applyFill="1">
      <alignment horizontal="left"/>
      <protection/>
    </xf>
    <xf numFmtId="164" fontId="4" fillId="11" borderId="27" xfId="72" applyNumberFormat="1" applyFont="1" applyFill="1" applyBorder="1" applyAlignment="1">
      <alignment horizontal="center" vertical="center" wrapText="1"/>
    </xf>
    <xf numFmtId="3" fontId="6" fillId="11" borderId="0" xfId="0" applyNumberFormat="1" applyFont="1" applyFill="1" applyBorder="1" applyAlignment="1">
      <alignment horizontal="right" vertical="center" wrapText="1"/>
    </xf>
    <xf numFmtId="3" fontId="6" fillId="11" borderId="14" xfId="0" applyNumberFormat="1" applyFont="1" applyFill="1" applyBorder="1" applyAlignment="1">
      <alignment horizontal="right" vertical="center" wrapText="1"/>
    </xf>
    <xf numFmtId="3" fontId="5" fillId="11" borderId="0" xfId="0" applyNumberFormat="1" applyFont="1" applyFill="1" applyAlignment="1">
      <alignment horizontal="right" vertical="center" wrapText="1"/>
    </xf>
    <xf numFmtId="0" fontId="102" fillId="11" borderId="14" xfId="0" applyFont="1" applyFill="1" applyBorder="1" applyAlignment="1">
      <alignment horizontal="right" vertical="center" wrapText="1"/>
    </xf>
    <xf numFmtId="3" fontId="6" fillId="11" borderId="0" xfId="0" applyNumberFormat="1" applyFont="1" applyFill="1" applyAlignment="1">
      <alignment horizontal="right" vertical="center" wrapText="1"/>
    </xf>
    <xf numFmtId="3" fontId="6" fillId="11" borderId="12" xfId="0" applyNumberFormat="1" applyFont="1" applyFill="1" applyBorder="1" applyAlignment="1">
      <alignment horizontal="right" vertical="center" wrapText="1"/>
    </xf>
    <xf numFmtId="164" fontId="4" fillId="11" borderId="23" xfId="72" applyNumberFormat="1" applyFont="1" applyFill="1" applyBorder="1" applyAlignment="1">
      <alignment horizontal="center" vertical="center"/>
    </xf>
    <xf numFmtId="164" fontId="4" fillId="11" borderId="10" xfId="72" applyNumberFormat="1" applyFont="1" applyFill="1" applyBorder="1" applyAlignment="1">
      <alignment horizontal="center" vertical="center"/>
    </xf>
    <xf numFmtId="0" fontId="4" fillId="33" borderId="23" xfId="53" applyFont="1" applyFill="1" applyBorder="1" applyAlignment="1">
      <alignment horizontal="center" vertical="center"/>
      <protection/>
    </xf>
    <xf numFmtId="0" fontId="6" fillId="33" borderId="10" xfId="60" applyFont="1" applyFill="1" applyBorder="1" applyAlignment="1">
      <alignment horizontal="left" vertical="center" wrapText="1"/>
      <protection/>
    </xf>
    <xf numFmtId="0" fontId="6" fillId="33" borderId="23" xfId="60" applyFont="1" applyFill="1" applyBorder="1" applyAlignment="1">
      <alignment horizontal="left" vertical="center" wrapText="1"/>
      <protection/>
    </xf>
    <xf numFmtId="0" fontId="5" fillId="16" borderId="23" xfId="60" applyFont="1" applyFill="1" applyBorder="1" applyAlignment="1">
      <alignment horizontal="left" vertical="center" wrapText="1"/>
      <protection/>
    </xf>
    <xf numFmtId="0" fontId="5" fillId="16" borderId="31" xfId="60" applyFont="1" applyFill="1" applyBorder="1" applyAlignment="1">
      <alignment horizontal="left" vertical="center" wrapText="1"/>
      <protection/>
    </xf>
    <xf numFmtId="0" fontId="6" fillId="0" borderId="27" xfId="60" applyFont="1" applyBorder="1" applyAlignment="1">
      <alignment horizontal="left" vertical="center" wrapText="1"/>
      <protection/>
    </xf>
    <xf numFmtId="164" fontId="4" fillId="4" borderId="27" xfId="72" applyNumberFormat="1" applyFont="1" applyFill="1" applyBorder="1" applyAlignment="1">
      <alignment horizontal="center" vertical="center" wrapText="1"/>
    </xf>
    <xf numFmtId="0" fontId="6" fillId="33" borderId="27" xfId="60" applyFont="1" applyFill="1" applyBorder="1" applyAlignment="1">
      <alignment horizontal="left" vertical="center" wrapText="1"/>
      <protection/>
    </xf>
    <xf numFmtId="0" fontId="5" fillId="0" borderId="54" xfId="60" applyFont="1" applyBorder="1" applyAlignment="1">
      <alignment horizontal="left" vertical="center" wrapText="1"/>
      <protection/>
    </xf>
    <xf numFmtId="0" fontId="5" fillId="0" borderId="27" xfId="60" applyFont="1" applyBorder="1" applyAlignment="1">
      <alignment horizontal="left" vertical="center" wrapText="1"/>
      <protection/>
    </xf>
    <xf numFmtId="0" fontId="5" fillId="0" borderId="57" xfId="60" applyFont="1" applyBorder="1" applyAlignment="1">
      <alignment horizontal="left" vertical="center" wrapText="1"/>
      <protection/>
    </xf>
    <xf numFmtId="0" fontId="11" fillId="33" borderId="10" xfId="53" applyFont="1" applyFill="1" applyBorder="1" applyAlignment="1">
      <alignment/>
      <protection/>
    </xf>
    <xf numFmtId="165" fontId="4" fillId="33" borderId="10" xfId="72" applyNumberFormat="1" applyFont="1" applyFill="1" applyBorder="1" applyAlignment="1">
      <alignment horizontal="right" vertical="top"/>
    </xf>
    <xf numFmtId="164" fontId="6" fillId="33" borderId="13" xfId="72" applyNumberFormat="1" applyFont="1" applyFill="1" applyBorder="1" applyAlignment="1">
      <alignment horizontal="right" vertical="center"/>
    </xf>
    <xf numFmtId="0" fontId="6" fillId="33" borderId="10" xfId="60" applyFont="1" applyFill="1" applyBorder="1" applyAlignment="1">
      <alignment vertical="center" wrapText="1"/>
      <protection/>
    </xf>
    <xf numFmtId="0" fontId="6" fillId="33" borderId="23" xfId="60" applyFont="1" applyFill="1" applyBorder="1" applyAlignment="1">
      <alignment vertical="center" wrapText="1"/>
      <protection/>
    </xf>
    <xf numFmtId="3" fontId="23" fillId="33" borderId="10" xfId="0" applyNumberFormat="1" applyFont="1" applyFill="1" applyBorder="1" applyAlignment="1" applyProtection="1">
      <alignment/>
      <protection hidden="1" locked="0"/>
    </xf>
    <xf numFmtId="0" fontId="92" fillId="0" borderId="0" xfId="0" applyFont="1" applyBorder="1" applyAlignment="1" applyProtection="1">
      <alignment horizontal="left" vertical="center" wrapText="1"/>
      <protection hidden="1" locked="0"/>
    </xf>
    <xf numFmtId="0" fontId="20" fillId="0" borderId="0" xfId="0" applyFont="1" applyFill="1" applyBorder="1" applyAlignment="1" applyProtection="1">
      <alignment horizontal="left" vertical="center" wrapText="1"/>
      <protection hidden="1" locked="0"/>
    </xf>
    <xf numFmtId="0" fontId="20" fillId="0" borderId="0" xfId="0" applyFont="1" applyFill="1" applyBorder="1" applyAlignment="1" applyProtection="1">
      <alignment horizontal="left" vertical="top" wrapText="1"/>
      <protection hidden="1" locked="0"/>
    </xf>
    <xf numFmtId="0" fontId="4" fillId="33" borderId="0" xfId="53" applyFont="1" applyFill="1" applyAlignment="1">
      <alignment vertical="center"/>
      <protection/>
    </xf>
    <xf numFmtId="165" fontId="28" fillId="33" borderId="0" xfId="0" applyNumberFormat="1" applyFont="1" applyFill="1" applyAlignment="1">
      <alignment/>
    </xf>
    <xf numFmtId="165" fontId="11" fillId="33" borderId="10" xfId="72" applyNumberFormat="1" applyFont="1" applyFill="1" applyBorder="1" applyAlignment="1">
      <alignment horizontal="right" vertical="top"/>
    </xf>
    <xf numFmtId="0" fontId="11" fillId="33" borderId="10" xfId="53" applyFont="1" applyFill="1" applyBorder="1" applyAlignment="1">
      <alignment vertical="top"/>
      <protection/>
    </xf>
    <xf numFmtId="172" fontId="11" fillId="0" borderId="10" xfId="70" applyNumberFormat="1" applyFont="1" applyBorder="1" applyAlignment="1">
      <alignment/>
    </xf>
    <xf numFmtId="165" fontId="28" fillId="33" borderId="0" xfId="0" applyNumberFormat="1" applyFont="1" applyFill="1" applyAlignment="1">
      <alignment horizontal="center"/>
    </xf>
    <xf numFmtId="0" fontId="28" fillId="33" borderId="0" xfId="0" applyFont="1" applyFill="1" applyAlignment="1">
      <alignment horizontal="center"/>
    </xf>
    <xf numFmtId="0" fontId="28" fillId="0" borderId="0" xfId="0" applyFont="1" applyAlignment="1">
      <alignment horizontal="center"/>
    </xf>
    <xf numFmtId="164" fontId="4" fillId="11" borderId="52" xfId="72" applyNumberFormat="1" applyFont="1" applyFill="1" applyBorder="1" applyAlignment="1">
      <alignment vertical="center" wrapText="1"/>
    </xf>
    <xf numFmtId="164" fontId="4" fillId="11" borderId="18" xfId="72" applyNumberFormat="1" applyFont="1" applyFill="1" applyBorder="1" applyAlignment="1">
      <alignment vertical="center" wrapText="1"/>
    </xf>
    <xf numFmtId="0" fontId="119" fillId="33" borderId="0" xfId="53" applyFont="1" applyFill="1" applyAlignment="1">
      <alignment horizontal="right"/>
      <protection/>
    </xf>
    <xf numFmtId="0" fontId="6" fillId="33" borderId="58" xfId="60" applyFont="1" applyFill="1" applyBorder="1" applyAlignment="1">
      <alignment horizontal="left" vertical="center" wrapText="1"/>
      <protection/>
    </xf>
    <xf numFmtId="0" fontId="6" fillId="33" borderId="31" xfId="60" applyFont="1" applyFill="1" applyBorder="1" applyAlignment="1">
      <alignment horizontal="left" vertical="center" wrapText="1"/>
      <protection/>
    </xf>
    <xf numFmtId="49" fontId="5" fillId="0" borderId="23" xfId="60" applyNumberFormat="1" applyFont="1" applyBorder="1" applyAlignment="1">
      <alignment horizontal="left" vertical="center" wrapText="1"/>
      <protection/>
    </xf>
    <xf numFmtId="49" fontId="6" fillId="0" borderId="27" xfId="60" applyNumberFormat="1" applyFont="1" applyBorder="1" applyAlignment="1">
      <alignment horizontal="left" vertical="center" wrapText="1"/>
      <protection/>
    </xf>
    <xf numFmtId="49" fontId="6" fillId="0" borderId="23" xfId="60" applyNumberFormat="1" applyFont="1" applyBorder="1" applyAlignment="1">
      <alignment horizontal="left" vertical="center" wrapText="1"/>
      <protection/>
    </xf>
    <xf numFmtId="49" fontId="5" fillId="0" borderId="29" xfId="60" applyNumberFormat="1" applyFont="1" applyBorder="1" applyAlignment="1">
      <alignment horizontal="left" vertical="center" wrapText="1"/>
      <protection/>
    </xf>
    <xf numFmtId="164" fontId="4" fillId="11" borderId="54" xfId="72" applyNumberFormat="1" applyFont="1" applyFill="1" applyBorder="1" applyAlignment="1">
      <alignment wrapText="1"/>
    </xf>
    <xf numFmtId="49" fontId="11" fillId="33" borderId="10" xfId="53" applyNumberFormat="1" applyFont="1" applyFill="1" applyBorder="1" applyAlignment="1">
      <alignment horizontal="center" vertical="center"/>
      <protection/>
    </xf>
    <xf numFmtId="164" fontId="15" fillId="11" borderId="10" xfId="72" applyNumberFormat="1" applyFont="1" applyFill="1" applyBorder="1" applyAlignment="1">
      <alignment horizontal="center" wrapText="1"/>
    </xf>
    <xf numFmtId="165" fontId="28" fillId="33" borderId="10" xfId="72" applyNumberFormat="1" applyFont="1" applyFill="1" applyBorder="1" applyAlignment="1">
      <alignment horizontal="center"/>
    </xf>
    <xf numFmtId="3" fontId="5" fillId="11" borderId="15" xfId="0" applyNumberFormat="1" applyFont="1" applyFill="1" applyBorder="1" applyAlignment="1">
      <alignment horizontal="right" vertical="center" wrapText="1"/>
    </xf>
    <xf numFmtId="0" fontId="103" fillId="0" borderId="14" xfId="0" applyFont="1" applyBorder="1" applyAlignment="1">
      <alignment horizontal="right" vertical="center" wrapText="1"/>
    </xf>
    <xf numFmtId="3" fontId="103" fillId="33" borderId="0" xfId="0" applyNumberFormat="1" applyFont="1" applyFill="1" applyAlignment="1">
      <alignment horizontal="right" vertical="center" wrapText="1"/>
    </xf>
    <xf numFmtId="3" fontId="103" fillId="33" borderId="14" xfId="0" applyNumberFormat="1" applyFont="1" applyFill="1" applyBorder="1" applyAlignment="1">
      <alignment horizontal="right" vertical="center" wrapText="1"/>
    </xf>
    <xf numFmtId="3" fontId="111" fillId="33" borderId="15" xfId="0" applyNumberFormat="1" applyFont="1" applyFill="1" applyBorder="1" applyAlignment="1">
      <alignment horizontal="right" vertical="center" wrapText="1"/>
    </xf>
    <xf numFmtId="0" fontId="6" fillId="11" borderId="0" xfId="0" applyFont="1" applyFill="1" applyAlignment="1">
      <alignment horizontal="right" vertical="center" wrapText="1"/>
    </xf>
    <xf numFmtId="0" fontId="103" fillId="0" borderId="0" xfId="0" applyFont="1" applyAlignment="1">
      <alignment horizontal="right" vertical="center" wrapText="1"/>
    </xf>
    <xf numFmtId="3" fontId="111" fillId="0" borderId="15" xfId="0" applyNumberFormat="1" applyFont="1" applyBorder="1" applyAlignment="1">
      <alignment horizontal="right" vertical="center" wrapText="1"/>
    </xf>
    <xf numFmtId="3" fontId="103" fillId="0" borderId="0" xfId="0" applyNumberFormat="1" applyFont="1" applyAlignment="1">
      <alignment horizontal="right" vertical="center" wrapText="1"/>
    </xf>
    <xf numFmtId="3" fontId="103" fillId="0" borderId="14" xfId="0" applyNumberFormat="1" applyFont="1" applyBorder="1" applyAlignment="1">
      <alignment horizontal="right" vertical="center" wrapText="1"/>
    </xf>
    <xf numFmtId="0" fontId="103" fillId="33" borderId="14" xfId="0" applyFont="1" applyFill="1" applyBorder="1" applyAlignment="1">
      <alignment horizontal="right" vertical="center" wrapText="1"/>
    </xf>
    <xf numFmtId="3" fontId="103" fillId="33" borderId="0" xfId="0" applyNumberFormat="1" applyFont="1" applyFill="1" applyAlignment="1">
      <alignment horizontal="right"/>
    </xf>
    <xf numFmtId="3" fontId="103" fillId="33" borderId="12" xfId="0" applyNumberFormat="1" applyFont="1" applyFill="1" applyBorder="1" applyAlignment="1">
      <alignment horizontal="right"/>
    </xf>
    <xf numFmtId="3" fontId="111" fillId="33" borderId="0" xfId="0" applyNumberFormat="1" applyFont="1" applyFill="1" applyAlignment="1">
      <alignment horizontal="right"/>
    </xf>
    <xf numFmtId="3" fontId="111" fillId="0" borderId="16" xfId="0" applyNumberFormat="1" applyFont="1" applyBorder="1" applyAlignment="1">
      <alignment horizontal="right" vertical="center" wrapText="1"/>
    </xf>
    <xf numFmtId="3" fontId="103" fillId="33" borderId="0" xfId="0" applyNumberFormat="1" applyFont="1" applyFill="1" applyBorder="1" applyAlignment="1">
      <alignment horizontal="right" vertical="center" wrapText="1"/>
    </xf>
    <xf numFmtId="3" fontId="103" fillId="33" borderId="12" xfId="0" applyNumberFormat="1" applyFont="1" applyFill="1" applyBorder="1" applyAlignment="1">
      <alignment horizontal="right" vertical="center" wrapText="1"/>
    </xf>
    <xf numFmtId="4" fontId="2" fillId="0" borderId="34" xfId="62" applyNumberFormat="1" applyFont="1" applyBorder="1" applyAlignment="1">
      <alignment horizontal="right" vertical="top"/>
      <protection/>
    </xf>
    <xf numFmtId="3" fontId="0" fillId="0" borderId="0" xfId="0" applyNumberFormat="1" applyAlignment="1">
      <alignment/>
    </xf>
    <xf numFmtId="3" fontId="5" fillId="11" borderId="59" xfId="0" applyNumberFormat="1" applyFont="1" applyFill="1" applyBorder="1" applyAlignment="1">
      <alignment horizontal="right" vertical="center" wrapText="1"/>
    </xf>
    <xf numFmtId="0" fontId="137" fillId="33" borderId="0" xfId="0" applyFont="1" applyFill="1" applyAlignment="1">
      <alignment vertical="center"/>
    </xf>
    <xf numFmtId="0" fontId="0" fillId="33" borderId="0" xfId="0" applyFill="1" applyAlignment="1">
      <alignment horizontal="right"/>
    </xf>
    <xf numFmtId="0" fontId="128" fillId="33" borderId="0" xfId="0" applyFont="1" applyFill="1" applyAlignment="1">
      <alignment horizontal="justify" vertical="center"/>
    </xf>
    <xf numFmtId="0" fontId="125" fillId="33" borderId="0" xfId="0" applyFont="1" applyFill="1" applyAlignment="1">
      <alignment/>
    </xf>
    <xf numFmtId="0" fontId="125" fillId="33" borderId="0" xfId="0" applyFont="1" applyFill="1" applyAlignment="1">
      <alignment horizontal="right"/>
    </xf>
    <xf numFmtId="0" fontId="6" fillId="33" borderId="0" xfId="0" applyFont="1" applyFill="1" applyAlignment="1">
      <alignment vertical="center"/>
    </xf>
    <xf numFmtId="0" fontId="102" fillId="33" borderId="0" xfId="0" applyFont="1" applyFill="1" applyAlignment="1">
      <alignment horizontal="left"/>
    </xf>
    <xf numFmtId="0" fontId="131" fillId="33" borderId="0" xfId="0" applyFont="1" applyFill="1" applyAlignment="1">
      <alignment vertical="center"/>
    </xf>
    <xf numFmtId="0" fontId="5" fillId="33" borderId="0" xfId="0" applyFont="1" applyFill="1" applyAlignment="1">
      <alignment vertical="center"/>
    </xf>
    <xf numFmtId="0" fontId="11" fillId="33" borderId="0" xfId="0" applyFont="1" applyFill="1" applyAlignment="1">
      <alignment vertical="center"/>
    </xf>
    <xf numFmtId="0" fontId="113" fillId="33" borderId="0" xfId="0" applyFont="1" applyFill="1" applyAlignment="1">
      <alignment vertical="center"/>
    </xf>
    <xf numFmtId="0" fontId="138" fillId="33" borderId="0" xfId="0" applyFont="1" applyFill="1" applyAlignment="1">
      <alignment vertical="center"/>
    </xf>
    <xf numFmtId="0" fontId="128" fillId="11" borderId="12" xfId="0" applyFont="1" applyFill="1" applyBorder="1" applyAlignment="1">
      <alignment horizontal="right" vertical="center" wrapText="1"/>
    </xf>
    <xf numFmtId="0" fontId="6" fillId="11" borderId="54" xfId="0" applyFont="1" applyFill="1" applyBorder="1" applyAlignment="1">
      <alignment horizontal="right" vertical="center" wrapText="1"/>
    </xf>
    <xf numFmtId="0" fontId="6" fillId="11" borderId="60" xfId="0" applyFont="1" applyFill="1" applyBorder="1" applyAlignment="1">
      <alignment horizontal="right" vertical="center" wrapText="1"/>
    </xf>
    <xf numFmtId="1" fontId="2" fillId="35" borderId="34" xfId="62" applyNumberFormat="1" applyFont="1" applyFill="1" applyBorder="1" applyAlignment="1">
      <alignment horizontal="left" vertical="top" wrapText="1" indent="2"/>
      <protection/>
    </xf>
    <xf numFmtId="0" fontId="2" fillId="35" borderId="34" xfId="62" applyNumberFormat="1" applyFont="1" applyFill="1" applyBorder="1" applyAlignment="1">
      <alignment horizontal="right" vertical="top"/>
      <protection/>
    </xf>
    <xf numFmtId="4" fontId="2" fillId="35" borderId="34" xfId="62" applyNumberFormat="1" applyFont="1" applyFill="1" applyBorder="1" applyAlignment="1">
      <alignment horizontal="right" vertical="top"/>
      <protection/>
    </xf>
    <xf numFmtId="3" fontId="103" fillId="0" borderId="12" xfId="0" applyNumberFormat="1" applyFont="1" applyBorder="1" applyAlignment="1">
      <alignment horizontal="right" vertical="center" wrapText="1"/>
    </xf>
    <xf numFmtId="4" fontId="30" fillId="36" borderId="38" xfId="55" applyNumberFormat="1" applyFont="1" applyFill="1" applyBorder="1" applyAlignment="1">
      <alignment horizontal="right" vertical="top"/>
      <protection/>
    </xf>
    <xf numFmtId="4" fontId="2" fillId="0" borderId="34" xfId="55" applyNumberFormat="1" applyFont="1" applyBorder="1" applyAlignment="1">
      <alignment horizontal="right" vertical="top"/>
      <protection/>
    </xf>
    <xf numFmtId="0" fontId="2" fillId="0" borderId="34" xfId="55" applyNumberFormat="1" applyFont="1" applyBorder="1" applyAlignment="1">
      <alignment horizontal="right" vertical="top"/>
      <protection/>
    </xf>
    <xf numFmtId="0" fontId="2" fillId="0" borderId="34" xfId="55" applyNumberFormat="1" applyFont="1" applyBorder="1" applyAlignment="1">
      <alignment horizontal="left" vertical="top" wrapText="1" indent="4"/>
      <protection/>
    </xf>
    <xf numFmtId="14" fontId="0" fillId="0" borderId="0" xfId="0" applyNumberFormat="1" applyAlignment="1">
      <alignment/>
    </xf>
    <xf numFmtId="0" fontId="2" fillId="0" borderId="34" xfId="55" applyNumberFormat="1" applyFont="1" applyBorder="1" applyAlignment="1">
      <alignment horizontal="left" vertical="top" wrapText="1" indent="2"/>
      <protection/>
    </xf>
    <xf numFmtId="0" fontId="6" fillId="33" borderId="0" xfId="0" applyFont="1" applyFill="1" applyAlignment="1">
      <alignment horizontal="left" vertical="center" wrapText="1"/>
    </xf>
    <xf numFmtId="0" fontId="6" fillId="33" borderId="0" xfId="0" applyFont="1" applyFill="1" applyAlignment="1">
      <alignment vertical="center" wrapText="1"/>
    </xf>
    <xf numFmtId="0" fontId="6" fillId="33" borderId="0" xfId="0" applyFont="1" applyFill="1" applyAlignment="1">
      <alignment horizontal="left" vertical="center" wrapText="1" indent="1"/>
    </xf>
    <xf numFmtId="0" fontId="102" fillId="33" borderId="0" xfId="0" applyFont="1" applyFill="1" applyAlignment="1">
      <alignment vertical="center" wrapText="1"/>
    </xf>
    <xf numFmtId="0" fontId="102" fillId="33" borderId="0" xfId="0" applyFont="1" applyFill="1" applyAlignment="1">
      <alignment wrapText="1"/>
    </xf>
    <xf numFmtId="0" fontId="102" fillId="33" borderId="14" xfId="0" applyFont="1" applyFill="1" applyBorder="1" applyAlignment="1">
      <alignment horizontal="center" vertical="center" textRotation="90" wrapText="1"/>
    </xf>
    <xf numFmtId="0" fontId="102" fillId="33" borderId="14" xfId="0" applyFont="1" applyFill="1" applyBorder="1" applyAlignment="1">
      <alignment horizontal="right" vertical="center" textRotation="90" wrapText="1"/>
    </xf>
    <xf numFmtId="0" fontId="5" fillId="33" borderId="0" xfId="0" applyFont="1" applyFill="1" applyAlignment="1">
      <alignment horizontal="left" vertical="center" wrapText="1" indent="1"/>
    </xf>
    <xf numFmtId="0" fontId="102" fillId="33" borderId="0" xfId="0" applyFont="1" applyFill="1" applyAlignment="1">
      <alignment horizontal="right" vertical="center" wrapText="1"/>
    </xf>
    <xf numFmtId="0" fontId="102" fillId="33" borderId="0" xfId="0" applyFont="1" applyFill="1" applyAlignment="1">
      <alignment horizontal="center" vertical="center" wrapText="1"/>
    </xf>
    <xf numFmtId="3" fontId="5" fillId="33" borderId="61" xfId="0" applyNumberFormat="1" applyFont="1" applyFill="1" applyBorder="1" applyAlignment="1">
      <alignment horizontal="right" vertical="center" wrapText="1"/>
    </xf>
    <xf numFmtId="3" fontId="5" fillId="33" borderId="61" xfId="0" applyNumberFormat="1" applyFont="1" applyFill="1" applyBorder="1" applyAlignment="1">
      <alignment horizontal="center" vertical="center" wrapText="1"/>
    </xf>
    <xf numFmtId="3" fontId="6" fillId="33" borderId="0" xfId="0" applyNumberFormat="1" applyFont="1" applyFill="1" applyBorder="1" applyAlignment="1">
      <alignment horizontal="right" vertical="center" wrapText="1"/>
    </xf>
    <xf numFmtId="3" fontId="6" fillId="33" borderId="0" xfId="0" applyNumberFormat="1" applyFont="1" applyFill="1" applyBorder="1" applyAlignment="1">
      <alignment horizontal="center" vertical="center" wrapText="1"/>
    </xf>
    <xf numFmtId="3" fontId="6" fillId="33" borderId="14" xfId="0" applyNumberFormat="1" applyFont="1" applyFill="1" applyBorder="1" applyAlignment="1">
      <alignment horizontal="right" vertical="center" wrapText="1"/>
    </xf>
    <xf numFmtId="3" fontId="6" fillId="33" borderId="14" xfId="0" applyNumberFormat="1" applyFont="1" applyFill="1" applyBorder="1" applyAlignment="1">
      <alignment horizontal="center" vertical="center" wrapText="1"/>
    </xf>
    <xf numFmtId="3" fontId="5" fillId="33" borderId="12" xfId="0" applyNumberFormat="1" applyFont="1" applyFill="1" applyBorder="1" applyAlignment="1">
      <alignment horizontal="right" vertical="center" wrapText="1"/>
    </xf>
    <xf numFmtId="3" fontId="5" fillId="33" borderId="14" xfId="0" applyNumberFormat="1" applyFont="1" applyFill="1" applyBorder="1" applyAlignment="1">
      <alignment horizontal="right" vertical="center" wrapText="1"/>
    </xf>
    <xf numFmtId="3" fontId="5" fillId="33" borderId="14" xfId="0" applyNumberFormat="1" applyFont="1" applyFill="1" applyBorder="1" applyAlignment="1">
      <alignment horizontal="center" vertical="center" wrapText="1"/>
    </xf>
    <xf numFmtId="0" fontId="5" fillId="33" borderId="0" xfId="0" applyFont="1" applyFill="1" applyAlignment="1">
      <alignment horizontal="left" wrapText="1" indent="1"/>
    </xf>
    <xf numFmtId="3" fontId="5" fillId="33" borderId="0" xfId="0" applyNumberFormat="1" applyFont="1" applyFill="1" applyAlignment="1">
      <alignment horizontal="right" vertical="center" wrapText="1"/>
    </xf>
    <xf numFmtId="3" fontId="5" fillId="33" borderId="0" xfId="0" applyNumberFormat="1" applyFont="1" applyFill="1" applyAlignment="1">
      <alignment horizontal="center" vertical="center" wrapText="1"/>
    </xf>
    <xf numFmtId="3" fontId="5" fillId="33" borderId="16" xfId="0" applyNumberFormat="1" applyFont="1" applyFill="1" applyBorder="1" applyAlignment="1">
      <alignment horizontal="right" vertical="center" wrapText="1"/>
    </xf>
    <xf numFmtId="3" fontId="5" fillId="33" borderId="16" xfId="0" applyNumberFormat="1" applyFont="1" applyFill="1" applyBorder="1" applyAlignment="1">
      <alignment horizontal="center" vertical="center" wrapText="1"/>
    </xf>
    <xf numFmtId="0" fontId="11" fillId="0" borderId="23" xfId="53" applyFont="1" applyBorder="1" applyAlignment="1">
      <alignment horizontal="left" vertical="center" wrapText="1"/>
      <protection/>
    </xf>
    <xf numFmtId="0" fontId="11" fillId="0" borderId="44" xfId="53" applyFont="1" applyBorder="1" applyAlignment="1">
      <alignment horizontal="left" vertical="center" wrapText="1"/>
      <protection/>
    </xf>
    <xf numFmtId="0" fontId="11" fillId="0" borderId="27" xfId="53" applyFont="1" applyBorder="1" applyAlignment="1">
      <alignment horizontal="left" vertical="center" wrapText="1"/>
      <protection/>
    </xf>
    <xf numFmtId="0" fontId="11" fillId="0" borderId="23" xfId="53" applyFont="1" applyBorder="1" applyAlignment="1">
      <alignment horizontal="left" vertical="center"/>
      <protection/>
    </xf>
    <xf numFmtId="0" fontId="11" fillId="0" borderId="44" xfId="53" applyFont="1" applyBorder="1" applyAlignment="1">
      <alignment horizontal="left" vertical="center"/>
      <protection/>
    </xf>
    <xf numFmtId="0" fontId="11" fillId="0" borderId="27" xfId="53" applyFont="1" applyBorder="1" applyAlignment="1">
      <alignment horizontal="left" vertical="center"/>
      <protection/>
    </xf>
    <xf numFmtId="0" fontId="11" fillId="0" borderId="10" xfId="53" applyFont="1" applyBorder="1" applyAlignment="1">
      <alignment horizontal="left" vertical="top"/>
      <protection/>
    </xf>
    <xf numFmtId="0" fontId="7" fillId="0" borderId="0" xfId="53" applyFont="1" applyAlignment="1">
      <alignment horizontal="right" vertical="center"/>
      <protection/>
    </xf>
    <xf numFmtId="0" fontId="15" fillId="0" borderId="0" xfId="53" applyFont="1" applyAlignment="1">
      <alignment horizontal="right" vertical="center"/>
      <protection/>
    </xf>
    <xf numFmtId="0" fontId="119" fillId="33" borderId="0" xfId="53" applyFont="1" applyFill="1" applyAlignment="1">
      <alignment horizontal="right" vertical="center"/>
      <protection/>
    </xf>
    <xf numFmtId="164" fontId="4" fillId="11" borderId="23" xfId="72" applyNumberFormat="1" applyFont="1" applyFill="1" applyBorder="1" applyAlignment="1">
      <alignment horizontal="center" vertical="center"/>
    </xf>
    <xf numFmtId="164" fontId="4" fillId="11" borderId="44" xfId="72" applyNumberFormat="1" applyFont="1" applyFill="1" applyBorder="1" applyAlignment="1">
      <alignment horizontal="center" vertical="center"/>
    </xf>
    <xf numFmtId="164" fontId="4" fillId="11" borderId="27" xfId="72" applyNumberFormat="1" applyFont="1" applyFill="1" applyBorder="1" applyAlignment="1">
      <alignment horizontal="center" vertical="center"/>
    </xf>
    <xf numFmtId="0" fontId="4" fillId="0" borderId="23" xfId="53" applyFont="1" applyBorder="1" applyAlignment="1">
      <alignment horizontal="left" vertical="center"/>
      <protection/>
    </xf>
    <xf numFmtId="0" fontId="4" fillId="0" borderId="44" xfId="53" applyFont="1" applyBorder="1" applyAlignment="1">
      <alignment horizontal="left" vertical="center"/>
      <protection/>
    </xf>
    <xf numFmtId="0" fontId="4" fillId="0" borderId="27" xfId="53" applyFont="1" applyBorder="1" applyAlignment="1">
      <alignment horizontal="left" vertical="center"/>
      <protection/>
    </xf>
    <xf numFmtId="0" fontId="11" fillId="0" borderId="10" xfId="53" applyFont="1" applyBorder="1" applyAlignment="1">
      <alignment horizontal="left" vertical="center"/>
      <protection/>
    </xf>
    <xf numFmtId="0" fontId="11" fillId="0" borderId="23" xfId="53" applyFont="1" applyBorder="1" applyAlignment="1">
      <alignment horizontal="left" vertical="top" wrapText="1"/>
      <protection/>
    </xf>
    <xf numFmtId="0" fontId="11" fillId="0" borderId="44" xfId="53" applyFont="1" applyBorder="1" applyAlignment="1">
      <alignment horizontal="left" vertical="top" wrapText="1"/>
      <protection/>
    </xf>
    <xf numFmtId="0" fontId="11" fillId="0" borderId="27" xfId="53" applyFont="1" applyBorder="1" applyAlignment="1">
      <alignment horizontal="left" vertical="top" wrapText="1"/>
      <protection/>
    </xf>
    <xf numFmtId="0" fontId="11" fillId="0" borderId="10" xfId="53" applyFont="1" applyBorder="1" applyAlignment="1">
      <alignment horizontal="left" vertical="center" wrapText="1"/>
      <protection/>
    </xf>
    <xf numFmtId="0" fontId="4" fillId="33" borderId="10" xfId="53" applyFont="1" applyFill="1" applyBorder="1" applyAlignment="1">
      <alignment horizontal="left" vertical="center"/>
      <protection/>
    </xf>
    <xf numFmtId="0" fontId="4" fillId="33" borderId="10" xfId="53" applyFont="1" applyFill="1" applyBorder="1" applyAlignment="1">
      <alignment horizontal="left" vertical="center" wrapText="1"/>
      <protection/>
    </xf>
    <xf numFmtId="0" fontId="11" fillId="33" borderId="10" xfId="53" applyFont="1" applyFill="1" applyBorder="1" applyAlignment="1">
      <alignment horizontal="left" vertical="center"/>
      <protection/>
    </xf>
    <xf numFmtId="0" fontId="4" fillId="0" borderId="10" xfId="53" applyFont="1" applyBorder="1" applyAlignment="1">
      <alignment horizontal="left" vertical="center"/>
      <protection/>
    </xf>
    <xf numFmtId="0" fontId="4" fillId="11" borderId="10" xfId="53" applyFont="1" applyFill="1" applyBorder="1" applyAlignment="1">
      <alignment vertical="center"/>
      <protection/>
    </xf>
    <xf numFmtId="0" fontId="11" fillId="0" borderId="10" xfId="53" applyFont="1" applyBorder="1" applyAlignment="1">
      <alignment vertical="center"/>
      <protection/>
    </xf>
    <xf numFmtId="0" fontId="11" fillId="33" borderId="10" xfId="53" applyFont="1" applyFill="1" applyBorder="1" applyAlignment="1">
      <alignment horizontal="left" vertical="top"/>
      <protection/>
    </xf>
    <xf numFmtId="0" fontId="4" fillId="0" borderId="23" xfId="53" applyFont="1" applyBorder="1" applyAlignment="1">
      <alignment horizontal="left" vertical="center" wrapText="1"/>
      <protection/>
    </xf>
    <xf numFmtId="0" fontId="4" fillId="0" borderId="44" xfId="53" applyFont="1" applyBorder="1" applyAlignment="1">
      <alignment horizontal="left" vertical="center" wrapText="1"/>
      <protection/>
    </xf>
    <xf numFmtId="0" fontId="4" fillId="0" borderId="27" xfId="53" applyFont="1" applyBorder="1" applyAlignment="1">
      <alignment horizontal="left" vertical="center" wrapText="1"/>
      <protection/>
    </xf>
    <xf numFmtId="0" fontId="11" fillId="33" borderId="10" xfId="53" applyFont="1" applyFill="1" applyBorder="1" applyAlignment="1">
      <alignment vertical="center"/>
      <protection/>
    </xf>
    <xf numFmtId="0" fontId="4" fillId="11" borderId="23" xfId="53" applyFont="1" applyFill="1" applyBorder="1" applyAlignment="1">
      <alignment vertical="center"/>
      <protection/>
    </xf>
    <xf numFmtId="0" fontId="11" fillId="0" borderId="23" xfId="53" applyFont="1" applyBorder="1" applyAlignment="1">
      <alignment vertical="center"/>
      <protection/>
    </xf>
    <xf numFmtId="0" fontId="11" fillId="0" borderId="44" xfId="53" applyFont="1" applyBorder="1" applyAlignment="1">
      <alignment vertical="center"/>
      <protection/>
    </xf>
    <xf numFmtId="0" fontId="11" fillId="0" borderId="27" xfId="53" applyFont="1" applyBorder="1" applyAlignment="1">
      <alignment vertical="center"/>
      <protection/>
    </xf>
    <xf numFmtId="0" fontId="4" fillId="33" borderId="0" xfId="53" applyFont="1" applyFill="1" applyAlignment="1">
      <alignment horizontal="right" vertical="center"/>
      <protection/>
    </xf>
    <xf numFmtId="164" fontId="4" fillId="11" borderId="10" xfId="72" applyNumberFormat="1" applyFont="1" applyFill="1" applyBorder="1" applyAlignment="1">
      <alignment horizontal="center" vertical="center"/>
    </xf>
    <xf numFmtId="0" fontId="11" fillId="33" borderId="10" xfId="53" applyFont="1" applyFill="1" applyBorder="1" applyAlignment="1">
      <alignment horizontal="left" vertical="top" wrapText="1"/>
      <protection/>
    </xf>
    <xf numFmtId="0" fontId="4" fillId="11" borderId="10" xfId="53" applyFont="1" applyFill="1" applyBorder="1" applyAlignment="1">
      <alignment horizontal="left" vertical="center" wrapText="1"/>
      <protection/>
    </xf>
    <xf numFmtId="0" fontId="11" fillId="33" borderId="23" xfId="53" applyFont="1" applyFill="1" applyBorder="1" applyAlignment="1">
      <alignment horizontal="left" vertical="center" wrapText="1"/>
      <protection/>
    </xf>
    <xf numFmtId="0" fontId="11" fillId="33" borderId="44" xfId="53" applyFont="1" applyFill="1" applyBorder="1" applyAlignment="1">
      <alignment horizontal="left" vertical="center" wrapText="1"/>
      <protection/>
    </xf>
    <xf numFmtId="0" fontId="11" fillId="33" borderId="27" xfId="53" applyFont="1" applyFill="1" applyBorder="1" applyAlignment="1">
      <alignment horizontal="left" vertical="center" wrapText="1"/>
      <protection/>
    </xf>
    <xf numFmtId="0" fontId="11" fillId="33" borderId="23" xfId="53" applyFont="1" applyFill="1" applyBorder="1" applyAlignment="1">
      <alignment horizontal="left" vertical="center"/>
      <protection/>
    </xf>
    <xf numFmtId="0" fontId="11" fillId="33" borderId="44" xfId="53" applyFont="1" applyFill="1" applyBorder="1" applyAlignment="1">
      <alignment horizontal="left" vertical="center"/>
      <protection/>
    </xf>
    <xf numFmtId="0" fontId="11" fillId="33" borderId="27" xfId="53" applyFont="1" applyFill="1" applyBorder="1" applyAlignment="1">
      <alignment horizontal="left" vertical="center"/>
      <protection/>
    </xf>
    <xf numFmtId="0" fontId="11" fillId="33" borderId="10" xfId="53" applyFont="1" applyFill="1" applyBorder="1" applyAlignment="1">
      <alignment horizontal="left" vertical="center" wrapText="1"/>
      <protection/>
    </xf>
    <xf numFmtId="0" fontId="6" fillId="33" borderId="10" xfId="53" applyFont="1" applyFill="1" applyBorder="1" applyAlignment="1">
      <alignment horizontal="left" vertical="center"/>
      <protection/>
    </xf>
    <xf numFmtId="0" fontId="6" fillId="33" borderId="10" xfId="53" applyFont="1" applyFill="1" applyBorder="1" applyAlignment="1">
      <alignment horizontal="left" vertical="center" wrapText="1"/>
      <protection/>
    </xf>
    <xf numFmtId="0" fontId="5" fillId="33" borderId="10" xfId="53" applyFont="1" applyFill="1" applyBorder="1" applyAlignment="1">
      <alignment horizontal="left" vertical="center" wrapText="1"/>
      <protection/>
    </xf>
    <xf numFmtId="0" fontId="5" fillId="33" borderId="10" xfId="53" applyFont="1" applyFill="1" applyBorder="1" applyAlignment="1">
      <alignment horizontal="left" vertical="center"/>
      <protection/>
    </xf>
    <xf numFmtId="0" fontId="5" fillId="33" borderId="10" xfId="53" applyFont="1" applyFill="1" applyBorder="1" applyAlignment="1">
      <alignment horizontal="left" vertical="top"/>
      <protection/>
    </xf>
    <xf numFmtId="0" fontId="6" fillId="33" borderId="10" xfId="53" applyFont="1" applyFill="1" applyBorder="1" applyAlignment="1">
      <alignment horizontal="left" vertical="top"/>
      <protection/>
    </xf>
    <xf numFmtId="0" fontId="6" fillId="33" borderId="10" xfId="53" applyFont="1" applyFill="1" applyBorder="1" applyAlignment="1">
      <alignment vertical="center"/>
      <protection/>
    </xf>
    <xf numFmtId="0" fontId="139" fillId="33" borderId="0" xfId="53" applyFont="1" applyFill="1" applyAlignment="1">
      <alignment horizontal="right" vertical="center"/>
      <protection/>
    </xf>
    <xf numFmtId="0" fontId="119" fillId="33" borderId="0" xfId="53" applyFont="1" applyFill="1" applyAlignment="1">
      <alignment horizontal="right" vertical="center" wrapText="1"/>
      <protection/>
    </xf>
    <xf numFmtId="0" fontId="4" fillId="33" borderId="23" xfId="53" applyFont="1" applyFill="1" applyBorder="1" applyAlignment="1">
      <alignment horizontal="center" vertical="center"/>
      <protection/>
    </xf>
    <xf numFmtId="0" fontId="4" fillId="33" borderId="44" xfId="53" applyFont="1" applyFill="1" applyBorder="1" applyAlignment="1">
      <alignment horizontal="center" vertical="center"/>
      <protection/>
    </xf>
    <xf numFmtId="0" fontId="4" fillId="33" borderId="27" xfId="53" applyFont="1" applyFill="1" applyBorder="1" applyAlignment="1">
      <alignment horizontal="center" vertical="center"/>
      <protection/>
    </xf>
    <xf numFmtId="164" fontId="5" fillId="33" borderId="23" xfId="72" applyNumberFormat="1" applyFont="1" applyFill="1" applyBorder="1" applyAlignment="1">
      <alignment horizontal="left" vertical="center"/>
    </xf>
    <xf numFmtId="164" fontId="5" fillId="33" borderId="44" xfId="72" applyNumberFormat="1" applyFont="1" applyFill="1" applyBorder="1" applyAlignment="1">
      <alignment horizontal="left" vertical="center"/>
    </xf>
    <xf numFmtId="164" fontId="5" fillId="33" borderId="27" xfId="72" applyNumberFormat="1" applyFont="1" applyFill="1" applyBorder="1" applyAlignment="1">
      <alignment horizontal="left" vertical="center"/>
    </xf>
    <xf numFmtId="0" fontId="6" fillId="33" borderId="10" xfId="0" applyFont="1" applyFill="1" applyBorder="1" applyAlignment="1">
      <alignment horizontal="left"/>
    </xf>
    <xf numFmtId="0" fontId="6" fillId="33" borderId="10" xfId="53" applyFont="1" applyFill="1" applyBorder="1">
      <alignment horizontal="left"/>
      <protection/>
    </xf>
    <xf numFmtId="0" fontId="6" fillId="33" borderId="10" xfId="53" applyFont="1" applyFill="1" applyBorder="1" applyAlignment="1">
      <alignment vertical="center" wrapText="1"/>
      <protection/>
    </xf>
    <xf numFmtId="0" fontId="20" fillId="0" borderId="62" xfId="0" applyFont="1" applyFill="1" applyBorder="1" applyAlignment="1" applyProtection="1">
      <alignment horizontal="left" vertical="center" wrapText="1"/>
      <protection hidden="1" locked="0"/>
    </xf>
    <xf numFmtId="0" fontId="20" fillId="0" borderId="63" xfId="0" applyFont="1" applyFill="1" applyBorder="1" applyAlignment="1" applyProtection="1">
      <alignment horizontal="left" vertical="center" wrapText="1"/>
      <protection hidden="1" locked="0"/>
    </xf>
    <xf numFmtId="0" fontId="20" fillId="0" borderId="64" xfId="0" applyFont="1" applyFill="1" applyBorder="1" applyAlignment="1" applyProtection="1">
      <alignment horizontal="left" vertical="center" wrapText="1"/>
      <protection hidden="1" locked="0"/>
    </xf>
    <xf numFmtId="0" fontId="22" fillId="4" borderId="65" xfId="0" applyFont="1" applyFill="1" applyBorder="1" applyAlignment="1" applyProtection="1">
      <alignment horizontal="center" vertical="center" wrapText="1"/>
      <protection hidden="1" locked="0"/>
    </xf>
    <xf numFmtId="0" fontId="22" fillId="4" borderId="66" xfId="0" applyFont="1" applyFill="1" applyBorder="1" applyAlignment="1" applyProtection="1">
      <alignment horizontal="center" vertical="center" wrapText="1"/>
      <protection hidden="1" locked="0"/>
    </xf>
    <xf numFmtId="0" fontId="22" fillId="4" borderId="62" xfId="0" applyFont="1" applyFill="1" applyBorder="1" applyAlignment="1" applyProtection="1">
      <alignment horizontal="center" vertical="center" wrapText="1"/>
      <protection hidden="1" locked="0"/>
    </xf>
    <xf numFmtId="0" fontId="22" fillId="4" borderId="63" xfId="0" applyFont="1" applyFill="1" applyBorder="1" applyAlignment="1" applyProtection="1">
      <alignment horizontal="center" vertical="center" wrapText="1"/>
      <protection hidden="1" locked="0"/>
    </xf>
    <xf numFmtId="0" fontId="22" fillId="4" borderId="64" xfId="0" applyFont="1" applyFill="1" applyBorder="1" applyAlignment="1" applyProtection="1">
      <alignment horizontal="center" vertical="center" wrapText="1"/>
      <protection hidden="1" locked="0"/>
    </xf>
    <xf numFmtId="0" fontId="22" fillId="0" borderId="0" xfId="0" applyFont="1" applyFill="1" applyBorder="1" applyAlignment="1" applyProtection="1">
      <alignment horizontal="left" vertical="center" wrapText="1"/>
      <protection hidden="1" locked="0"/>
    </xf>
    <xf numFmtId="0" fontId="92" fillId="0" borderId="0" xfId="0" applyFont="1" applyBorder="1" applyAlignment="1" applyProtection="1">
      <alignment horizontal="left" vertical="center" wrapText="1"/>
      <protection hidden="1" locked="0"/>
    </xf>
    <xf numFmtId="0" fontId="19" fillId="0" borderId="0" xfId="0" applyFont="1" applyFill="1" applyBorder="1" applyAlignment="1" applyProtection="1">
      <alignment horizontal="center" vertical="center" wrapText="1"/>
      <protection hidden="1" locked="0"/>
    </xf>
    <xf numFmtId="0" fontId="4" fillId="0" borderId="0" xfId="53" applyFont="1" applyAlignment="1">
      <alignment horizontal="center" vertical="center"/>
      <protection/>
    </xf>
    <xf numFmtId="0" fontId="6" fillId="33" borderId="23" xfId="60" applyFont="1" applyFill="1" applyBorder="1" applyAlignment="1">
      <alignment horizontal="left" vertical="center" wrapText="1"/>
      <protection/>
    </xf>
    <xf numFmtId="0" fontId="6" fillId="33" borderId="44" xfId="60" applyFont="1" applyFill="1" applyBorder="1" applyAlignment="1">
      <alignment horizontal="left" vertical="center" wrapText="1"/>
      <protection/>
    </xf>
    <xf numFmtId="0" fontId="6" fillId="33" borderId="27" xfId="60" applyFont="1" applyFill="1" applyBorder="1" applyAlignment="1">
      <alignment horizontal="left" vertical="center" wrapText="1"/>
      <protection/>
    </xf>
    <xf numFmtId="0" fontId="6" fillId="33" borderId="10" xfId="60" applyFont="1" applyFill="1" applyBorder="1" applyAlignment="1">
      <alignment horizontal="left" vertical="center" wrapText="1"/>
      <protection/>
    </xf>
    <xf numFmtId="0" fontId="6" fillId="0" borderId="23" xfId="60" applyFont="1" applyBorder="1" applyAlignment="1">
      <alignment horizontal="left" vertical="center" wrapText="1"/>
      <protection/>
    </xf>
    <xf numFmtId="0" fontId="6" fillId="0" borderId="44" xfId="60" applyFont="1" applyBorder="1" applyAlignment="1">
      <alignment horizontal="left" vertical="center" wrapText="1"/>
      <protection/>
    </xf>
    <xf numFmtId="0" fontId="6" fillId="0" borderId="27" xfId="60" applyFont="1" applyBorder="1" applyAlignment="1">
      <alignment horizontal="left" vertical="center" wrapText="1"/>
      <protection/>
    </xf>
    <xf numFmtId="0" fontId="5" fillId="0" borderId="23" xfId="60" applyFont="1" applyBorder="1" applyAlignment="1">
      <alignment horizontal="left" vertical="center" wrapText="1"/>
      <protection/>
    </xf>
    <xf numFmtId="0" fontId="5" fillId="0" borderId="44" xfId="60" applyFont="1" applyBorder="1" applyAlignment="1">
      <alignment horizontal="left" vertical="center" wrapText="1"/>
      <protection/>
    </xf>
    <xf numFmtId="0" fontId="5" fillId="0" borderId="27" xfId="60" applyFont="1" applyBorder="1" applyAlignment="1">
      <alignment horizontal="left" vertical="center" wrapText="1"/>
      <protection/>
    </xf>
    <xf numFmtId="0" fontId="5" fillId="0" borderId="29" xfId="60" applyFont="1" applyBorder="1" applyAlignment="1">
      <alignment horizontal="left" vertical="center" wrapText="1"/>
      <protection/>
    </xf>
    <xf numFmtId="0" fontId="5" fillId="0" borderId="67" xfId="60" applyFont="1" applyBorder="1" applyAlignment="1">
      <alignment horizontal="left" vertical="center" wrapText="1"/>
      <protection/>
    </xf>
    <xf numFmtId="0" fontId="5" fillId="0" borderId="57" xfId="60" applyFont="1" applyBorder="1" applyAlignment="1">
      <alignment horizontal="left" vertical="center" wrapText="1"/>
      <protection/>
    </xf>
    <xf numFmtId="0" fontId="5" fillId="16" borderId="13" xfId="60" applyFont="1" applyFill="1" applyBorder="1" applyAlignment="1">
      <alignment horizontal="left" vertical="center" wrapText="1"/>
      <protection/>
    </xf>
    <xf numFmtId="0" fontId="5" fillId="16" borderId="31" xfId="60" applyFont="1" applyFill="1" applyBorder="1" applyAlignment="1">
      <alignment horizontal="left" vertical="center" wrapText="1"/>
      <protection/>
    </xf>
    <xf numFmtId="0" fontId="5" fillId="0" borderId="28" xfId="60" applyFont="1" applyBorder="1" applyAlignment="1">
      <alignment horizontal="left" vertical="center" wrapText="1"/>
      <protection/>
    </xf>
    <xf numFmtId="0" fontId="5" fillId="0" borderId="39" xfId="60" applyFont="1" applyBorder="1" applyAlignment="1">
      <alignment horizontal="left" vertical="center" wrapText="1"/>
      <protection/>
    </xf>
    <xf numFmtId="0" fontId="5" fillId="0" borderId="54" xfId="60" applyFont="1" applyBorder="1" applyAlignment="1">
      <alignment horizontal="left" vertical="center" wrapText="1"/>
      <protection/>
    </xf>
    <xf numFmtId="0" fontId="6" fillId="0" borderId="0" xfId="60" applyFont="1" applyAlignment="1">
      <alignment horizontal="center" vertical="top"/>
      <protection/>
    </xf>
    <xf numFmtId="0" fontId="5" fillId="16" borderId="10" xfId="60" applyFont="1" applyFill="1" applyBorder="1" applyAlignment="1">
      <alignment horizontal="left" vertical="center" wrapText="1"/>
      <protection/>
    </xf>
    <xf numFmtId="0" fontId="5" fillId="16" borderId="23" xfId="60" applyFont="1" applyFill="1" applyBorder="1" applyAlignment="1">
      <alignment horizontal="left" vertical="center" wrapText="1"/>
      <protection/>
    </xf>
    <xf numFmtId="0" fontId="5" fillId="33" borderId="43" xfId="60" applyFont="1" applyFill="1" applyBorder="1" applyAlignment="1">
      <alignment horizontal="left" wrapText="1"/>
      <protection/>
    </xf>
    <xf numFmtId="0" fontId="6" fillId="33" borderId="0" xfId="60" applyFont="1" applyFill="1" applyAlignment="1">
      <alignment horizontal="center" vertical="top"/>
      <protection/>
    </xf>
    <xf numFmtId="0" fontId="7" fillId="0" borderId="41" xfId="60" applyFont="1" applyBorder="1" applyAlignment="1">
      <alignment horizontal="center" vertical="center"/>
      <protection/>
    </xf>
    <xf numFmtId="0" fontId="7" fillId="0" borderId="40" xfId="60" applyFont="1" applyBorder="1" applyAlignment="1">
      <alignment horizontal="center" vertical="center"/>
      <protection/>
    </xf>
    <xf numFmtId="0" fontId="7" fillId="0" borderId="42" xfId="60" applyFont="1" applyBorder="1" applyAlignment="1">
      <alignment horizontal="center" vertical="center"/>
      <protection/>
    </xf>
    <xf numFmtId="0" fontId="6" fillId="0" borderId="10" xfId="60" applyFont="1" applyBorder="1" applyAlignment="1">
      <alignment horizontal="left" vertical="center" wrapText="1"/>
      <protection/>
    </xf>
    <xf numFmtId="0" fontId="5" fillId="0" borderId="10" xfId="60" applyFont="1" applyBorder="1" applyAlignment="1">
      <alignment horizontal="left" vertical="center" wrapText="1"/>
      <protection/>
    </xf>
    <xf numFmtId="0" fontId="5" fillId="0" borderId="22" xfId="60" applyFont="1" applyBorder="1" applyAlignment="1">
      <alignment horizontal="left" vertical="center" wrapText="1"/>
      <protection/>
    </xf>
    <xf numFmtId="0" fontId="5" fillId="0" borderId="24" xfId="60" applyFont="1" applyBorder="1" applyAlignment="1">
      <alignment horizontal="left" vertical="center" wrapText="1"/>
      <protection/>
    </xf>
    <xf numFmtId="0" fontId="6" fillId="0" borderId="24" xfId="60" applyFont="1" applyBorder="1" applyAlignment="1">
      <alignment horizontal="left" vertical="center" wrapText="1"/>
      <protection/>
    </xf>
    <xf numFmtId="0" fontId="5" fillId="0" borderId="55" xfId="60" applyFont="1" applyBorder="1" applyAlignment="1">
      <alignment horizontal="left" vertical="center" wrapText="1"/>
      <protection/>
    </xf>
    <xf numFmtId="0" fontId="5" fillId="0" borderId="18" xfId="60" applyFont="1" applyBorder="1" applyAlignment="1">
      <alignment horizontal="left" vertical="center" wrapText="1"/>
      <protection/>
    </xf>
    <xf numFmtId="0" fontId="5" fillId="0" borderId="52" xfId="60" applyFont="1" applyBorder="1" applyAlignment="1">
      <alignment horizontal="left" vertical="center" wrapText="1"/>
      <protection/>
    </xf>
    <xf numFmtId="0" fontId="7" fillId="0" borderId="68" xfId="60" applyFont="1" applyBorder="1" applyAlignment="1">
      <alignment horizontal="center" vertical="center"/>
      <protection/>
    </xf>
    <xf numFmtId="0" fontId="7" fillId="0" borderId="69" xfId="60" applyFont="1" applyBorder="1" applyAlignment="1">
      <alignment horizontal="center" vertical="center"/>
      <protection/>
    </xf>
    <xf numFmtId="0" fontId="7" fillId="0" borderId="70" xfId="60" applyFont="1" applyBorder="1" applyAlignment="1">
      <alignment horizontal="center" vertical="center"/>
      <protection/>
    </xf>
    <xf numFmtId="0" fontId="7" fillId="35" borderId="40" xfId="60" applyFont="1" applyFill="1" applyBorder="1" applyAlignment="1">
      <alignment horizontal="center" vertical="center"/>
      <protection/>
    </xf>
    <xf numFmtId="0" fontId="7" fillId="35" borderId="41" xfId="60" applyFont="1" applyFill="1" applyBorder="1" applyAlignment="1">
      <alignment horizontal="center" vertical="center"/>
      <protection/>
    </xf>
    <xf numFmtId="0" fontId="7" fillId="35" borderId="42" xfId="60" applyFont="1" applyFill="1" applyBorder="1" applyAlignment="1">
      <alignment horizontal="center" vertical="center"/>
      <protection/>
    </xf>
    <xf numFmtId="0" fontId="4" fillId="0" borderId="0" xfId="53" applyFont="1" applyAlignment="1">
      <alignment horizontal="right" vertical="center"/>
      <protection/>
    </xf>
    <xf numFmtId="164" fontId="4" fillId="4" borderId="23" xfId="72" applyNumberFormat="1" applyFont="1" applyFill="1" applyBorder="1" applyAlignment="1">
      <alignment horizontal="center" vertical="center" wrapText="1"/>
    </xf>
    <xf numFmtId="164" fontId="4" fillId="4" borderId="44" xfId="72" applyNumberFormat="1" applyFont="1" applyFill="1" applyBorder="1" applyAlignment="1">
      <alignment horizontal="center" vertical="center" wrapText="1"/>
    </xf>
    <xf numFmtId="164" fontId="4" fillId="4" borderId="27" xfId="72" applyNumberFormat="1" applyFont="1" applyFill="1" applyBorder="1" applyAlignment="1">
      <alignment horizontal="center" vertical="center" wrapText="1"/>
    </xf>
    <xf numFmtId="0" fontId="6" fillId="33" borderId="24" xfId="60" applyFont="1" applyFill="1" applyBorder="1" applyAlignment="1">
      <alignment horizontal="left" vertical="center" wrapText="1"/>
      <protection/>
    </xf>
    <xf numFmtId="0" fontId="5" fillId="33" borderId="10" xfId="60" applyFont="1" applyFill="1" applyBorder="1" applyAlignment="1">
      <alignment horizontal="left" vertical="center" wrapText="1"/>
      <protection/>
    </xf>
    <xf numFmtId="0" fontId="5" fillId="33" borderId="23" xfId="60" applyFont="1" applyFill="1" applyBorder="1" applyAlignment="1">
      <alignment horizontal="left" vertical="center" wrapText="1"/>
      <protection/>
    </xf>
    <xf numFmtId="0" fontId="5" fillId="33" borderId="0" xfId="60" applyFont="1" applyFill="1" applyBorder="1" applyAlignment="1">
      <alignment horizontal="left" wrapText="1"/>
      <protection/>
    </xf>
    <xf numFmtId="0" fontId="6" fillId="33" borderId="25" xfId="60" applyFont="1" applyFill="1" applyBorder="1" applyAlignment="1">
      <alignment horizontal="left" vertical="center" wrapText="1"/>
      <protection/>
    </xf>
    <xf numFmtId="0" fontId="7" fillId="0" borderId="31" xfId="60" applyFont="1" applyBorder="1" applyAlignment="1">
      <alignment horizontal="center" vertical="center"/>
      <protection/>
    </xf>
    <xf numFmtId="0" fontId="5" fillId="33" borderId="24" xfId="60" applyFont="1" applyFill="1" applyBorder="1" applyAlignment="1">
      <alignment horizontal="left" vertical="center" wrapText="1"/>
      <protection/>
    </xf>
    <xf numFmtId="0" fontId="5" fillId="33" borderId="52" xfId="60" applyFont="1" applyFill="1" applyBorder="1" applyAlignment="1">
      <alignment horizontal="left" vertical="center" wrapText="1"/>
      <protection/>
    </xf>
    <xf numFmtId="0" fontId="5" fillId="33" borderId="18" xfId="60" applyFont="1" applyFill="1" applyBorder="1" applyAlignment="1">
      <alignment horizontal="left" vertical="center" wrapText="1"/>
      <protection/>
    </xf>
    <xf numFmtId="0" fontId="5" fillId="33" borderId="28" xfId="60" applyFont="1" applyFill="1" applyBorder="1" applyAlignment="1">
      <alignment horizontal="left" vertical="center" wrapText="1"/>
      <protection/>
    </xf>
    <xf numFmtId="0" fontId="7" fillId="0" borderId="11" xfId="60" applyFont="1" applyBorder="1" applyAlignment="1">
      <alignment horizontal="center" vertical="center"/>
      <protection/>
    </xf>
    <xf numFmtId="0" fontId="7" fillId="0" borderId="0" xfId="60" applyFont="1" applyBorder="1" applyAlignment="1">
      <alignment horizontal="center" vertical="center"/>
      <protection/>
    </xf>
    <xf numFmtId="0" fontId="7" fillId="0" borderId="12" xfId="60" applyFont="1" applyBorder="1" applyAlignment="1">
      <alignment horizontal="center" vertical="center"/>
      <protection/>
    </xf>
    <xf numFmtId="0" fontId="5" fillId="33" borderId="55" xfId="60" applyFont="1" applyFill="1" applyBorder="1" applyAlignment="1">
      <alignment horizontal="left" vertical="center" wrapText="1"/>
      <protection/>
    </xf>
    <xf numFmtId="0" fontId="5" fillId="33" borderId="22" xfId="60" applyFont="1" applyFill="1" applyBorder="1" applyAlignment="1">
      <alignment horizontal="left" vertical="center" wrapText="1"/>
      <protection/>
    </xf>
    <xf numFmtId="0" fontId="5" fillId="33" borderId="29" xfId="60" applyFont="1" applyFill="1" applyBorder="1" applyAlignment="1">
      <alignment horizontal="left" vertical="center" wrapText="1"/>
      <protection/>
    </xf>
    <xf numFmtId="0" fontId="7" fillId="0" borderId="71" xfId="60" applyFont="1" applyBorder="1" applyAlignment="1">
      <alignment horizontal="center" vertical="center"/>
      <protection/>
    </xf>
    <xf numFmtId="0" fontId="7" fillId="0" borderId="37" xfId="60" applyFont="1" applyBorder="1" applyAlignment="1">
      <alignment horizontal="center" vertical="center"/>
      <protection/>
    </xf>
    <xf numFmtId="0" fontId="7" fillId="0" borderId="72" xfId="60" applyFont="1" applyBorder="1" applyAlignment="1">
      <alignment horizontal="center" vertical="center"/>
      <protection/>
    </xf>
    <xf numFmtId="164" fontId="4" fillId="4" borderId="32" xfId="72" applyNumberFormat="1" applyFont="1" applyFill="1" applyBorder="1" applyAlignment="1">
      <alignment horizontal="center" wrapText="1"/>
    </xf>
    <xf numFmtId="164" fontId="4" fillId="4" borderId="73" xfId="72" applyNumberFormat="1" applyFont="1" applyFill="1" applyBorder="1" applyAlignment="1">
      <alignment horizontal="center" wrapText="1"/>
    </xf>
    <xf numFmtId="164" fontId="4" fillId="4" borderId="30" xfId="72" applyNumberFormat="1" applyFont="1" applyFill="1" applyBorder="1" applyAlignment="1">
      <alignment horizontal="center" wrapText="1"/>
    </xf>
    <xf numFmtId="0" fontId="5" fillId="33" borderId="74" xfId="60" applyFont="1" applyFill="1" applyBorder="1" applyAlignment="1">
      <alignment horizontal="left" vertical="center" wrapText="1"/>
      <protection/>
    </xf>
    <xf numFmtId="0" fontId="5" fillId="33" borderId="13" xfId="60" applyFont="1" applyFill="1" applyBorder="1" applyAlignment="1">
      <alignment horizontal="left" vertical="center" wrapText="1"/>
      <protection/>
    </xf>
    <xf numFmtId="0" fontId="5" fillId="33" borderId="31" xfId="60" applyFont="1" applyFill="1" applyBorder="1" applyAlignment="1">
      <alignment horizontal="left" vertical="center" wrapText="1"/>
      <protection/>
    </xf>
    <xf numFmtId="0" fontId="5" fillId="33" borderId="75" xfId="60" applyFont="1" applyFill="1" applyBorder="1" applyAlignment="1">
      <alignment horizontal="left" vertical="center" wrapText="1"/>
      <protection/>
    </xf>
    <xf numFmtId="0" fontId="5" fillId="33" borderId="26" xfId="60" applyFont="1" applyFill="1" applyBorder="1" applyAlignment="1">
      <alignment horizontal="left" vertical="center" wrapText="1"/>
      <protection/>
    </xf>
    <xf numFmtId="0" fontId="5" fillId="33" borderId="32" xfId="60" applyFont="1" applyFill="1" applyBorder="1" applyAlignment="1">
      <alignment horizontal="left" vertical="center" wrapText="1"/>
      <protection/>
    </xf>
    <xf numFmtId="0" fontId="26" fillId="36" borderId="38" xfId="61" applyNumberFormat="1" applyFont="1" applyFill="1" applyBorder="1" applyAlignment="1">
      <alignment horizontal="left" vertical="top" wrapText="1"/>
      <protection/>
    </xf>
    <xf numFmtId="0" fontId="26" fillId="36" borderId="38" xfId="61" applyNumberFormat="1" applyFont="1" applyFill="1" applyBorder="1" applyAlignment="1">
      <alignment horizontal="center" vertical="center" wrapText="1"/>
      <protection/>
    </xf>
    <xf numFmtId="1" fontId="26" fillId="36" borderId="38" xfId="61" applyNumberFormat="1" applyFont="1" applyFill="1" applyBorder="1" applyAlignment="1">
      <alignment horizontal="center" vertical="center"/>
      <protection/>
    </xf>
    <xf numFmtId="0" fontId="26" fillId="36" borderId="38" xfId="61" applyNumberFormat="1" applyFont="1" applyFill="1" applyBorder="1" applyAlignment="1">
      <alignment horizontal="center" vertical="center"/>
      <protection/>
    </xf>
    <xf numFmtId="0" fontId="25" fillId="0" borderId="0" xfId="53" applyFont="1" applyAlignment="1">
      <alignment/>
      <protection/>
    </xf>
    <xf numFmtId="0" fontId="2" fillId="0" borderId="0" xfId="53" applyAlignment="1">
      <alignment/>
      <protection/>
    </xf>
    <xf numFmtId="0" fontId="25" fillId="0" borderId="76" xfId="53" applyFont="1" applyBorder="1" applyAlignment="1">
      <alignment horizontal="center"/>
      <protection/>
    </xf>
    <xf numFmtId="0" fontId="25" fillId="0" borderId="68" xfId="53" applyFont="1" applyBorder="1" applyAlignment="1">
      <alignment horizontal="center"/>
      <protection/>
    </xf>
    <xf numFmtId="0" fontId="128" fillId="0" borderId="0" xfId="0" applyFont="1" applyAlignment="1">
      <alignment horizontal="justify" vertical="center"/>
    </xf>
    <xf numFmtId="0" fontId="128" fillId="0" borderId="0" xfId="0" applyFont="1" applyAlignment="1">
      <alignment horizontal="justify" vertical="center" wrapText="1"/>
    </xf>
    <xf numFmtId="0" fontId="140" fillId="0" borderId="0" xfId="0" applyFont="1" applyAlignment="1">
      <alignment horizontal="justify" vertical="center"/>
    </xf>
    <xf numFmtId="0" fontId="128" fillId="0" borderId="0" xfId="0" applyFont="1" applyAlignment="1">
      <alignment horizontal="left" vertical="center" wrapText="1" shrinkToFit="1"/>
    </xf>
    <xf numFmtId="0" fontId="128" fillId="0" borderId="0" xfId="0" applyFont="1" applyAlignment="1">
      <alignment horizontal="justify" vertical="center" wrapText="1" shrinkToFit="1"/>
    </xf>
    <xf numFmtId="0" fontId="128" fillId="0" borderId="0" xfId="0" applyFont="1" applyAlignment="1">
      <alignment horizontal="left" vertical="center" wrapText="1"/>
    </xf>
    <xf numFmtId="0" fontId="140" fillId="0" borderId="0" xfId="0" applyFont="1" applyAlignment="1">
      <alignment horizontal="justify" vertical="center" wrapText="1"/>
    </xf>
    <xf numFmtId="0" fontId="128" fillId="0" borderId="0" xfId="0" applyFont="1" applyAlignment="1">
      <alignment horizontal="justify" vertical="top" wrapText="1"/>
    </xf>
    <xf numFmtId="0" fontId="140" fillId="0" borderId="0" xfId="0" applyFont="1" applyAlignment="1">
      <alignment horizontal="left" vertical="center"/>
    </xf>
    <xf numFmtId="0" fontId="6" fillId="33" borderId="0" xfId="0" applyFont="1" applyFill="1" applyAlignment="1">
      <alignment horizontal="left" vertical="center" wrapText="1"/>
    </xf>
    <xf numFmtId="0" fontId="128" fillId="0" borderId="0" xfId="0" applyFont="1" applyAlignment="1">
      <alignment horizontal="left" vertical="center"/>
    </xf>
    <xf numFmtId="0" fontId="128" fillId="33" borderId="0" xfId="0" applyFont="1" applyFill="1" applyAlignment="1">
      <alignment horizontal="justify"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128" fillId="33" borderId="0" xfId="0" applyFont="1" applyFill="1" applyAlignment="1">
      <alignment horizontal="left" vertical="center" wrapText="1"/>
    </xf>
    <xf numFmtId="0" fontId="126" fillId="0" borderId="0" xfId="0" applyFont="1" applyAlignment="1">
      <alignment horizontal="left" wrapText="1"/>
    </xf>
    <xf numFmtId="0" fontId="141" fillId="0" borderId="0" xfId="0" applyFont="1" applyAlignment="1">
      <alignment horizontal="center" vertical="center"/>
    </xf>
    <xf numFmtId="0" fontId="26" fillId="36" borderId="38" xfId="59" applyNumberFormat="1" applyFont="1" applyFill="1" applyBorder="1" applyAlignment="1">
      <alignment horizontal="left" vertical="top"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Лист2" xfId="54"/>
    <cellStyle name="Обычный_Лист3" xfId="55"/>
    <cellStyle name="Обычный_Лист5" xfId="56"/>
    <cellStyle name="Обычный_Лист6" xfId="57"/>
    <cellStyle name="Обычный_Лист6_1" xfId="58"/>
    <cellStyle name="Обычный_Лист7" xfId="59"/>
    <cellStyle name="Обычный_Лист8" xfId="60"/>
    <cellStyle name="Обычный_Лист8_1" xfId="61"/>
    <cellStyle name="Обычный_пояснительная" xfId="62"/>
    <cellStyle name="Followed Hyperlink" xfId="63"/>
    <cellStyle name="Плохой" xfId="64"/>
    <cellStyle name="Пояснение" xfId="65"/>
    <cellStyle name="Примечание" xfId="66"/>
    <cellStyle name="Percent" xfId="67"/>
    <cellStyle name="Связанная ячейка" xfId="68"/>
    <cellStyle name="Текст предупреждения" xfId="69"/>
    <cellStyle name="Comma" xfId="70"/>
    <cellStyle name="Comma [0]" xfId="71"/>
    <cellStyle name="Финансовый 2"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B82"/>
  <sheetViews>
    <sheetView zoomScale="75" zoomScaleNormal="75" zoomScaleSheetLayoutView="100" workbookViewId="0" topLeftCell="A10">
      <selection activeCell="Y35" sqref="Y35"/>
    </sheetView>
  </sheetViews>
  <sheetFormatPr defaultColWidth="9.140625" defaultRowHeight="15"/>
  <cols>
    <col min="1" max="4" width="9.140625" style="120" customWidth="1"/>
    <col min="5" max="5" width="11.28125" style="120" customWidth="1"/>
    <col min="6" max="6" width="12.7109375" style="120" customWidth="1"/>
    <col min="7" max="7" width="10.8515625" style="120" customWidth="1"/>
    <col min="8" max="8" width="26.28125" style="120" hidden="1" customWidth="1"/>
    <col min="9" max="11" width="25.57421875" style="120" hidden="1" customWidth="1"/>
    <col min="12" max="13" width="19.421875" style="120" hidden="1" customWidth="1"/>
    <col min="14" max="14" width="5.8515625" style="120" hidden="1" customWidth="1"/>
    <col min="15" max="15" width="9.57421875" style="120" hidden="1" customWidth="1"/>
    <col min="16" max="16" width="13.28125" style="166" customWidth="1"/>
    <col min="17" max="22" width="13.28125" style="166" hidden="1" customWidth="1"/>
    <col min="23" max="23" width="13.28125" style="166" customWidth="1"/>
    <col min="24" max="25" width="13.7109375" style="120" bestFit="1" customWidth="1"/>
    <col min="26" max="16384" width="9.140625" style="120" customWidth="1"/>
  </cols>
  <sheetData>
    <row r="1" spans="1:23" ht="18.75">
      <c r="A1" s="647" t="s">
        <v>0</v>
      </c>
      <c r="B1" s="647"/>
      <c r="C1" s="647"/>
      <c r="D1" s="647"/>
      <c r="E1" s="647"/>
      <c r="F1" s="647"/>
      <c r="G1" s="647"/>
      <c r="H1" s="647"/>
      <c r="I1" s="647"/>
      <c r="J1" s="647"/>
      <c r="K1" s="647"/>
      <c r="L1" s="647"/>
      <c r="M1" s="647"/>
      <c r="N1" s="647"/>
      <c r="O1" s="647"/>
      <c r="P1" s="647"/>
      <c r="Q1" s="647"/>
      <c r="R1" s="647"/>
      <c r="S1" s="647"/>
      <c r="T1" s="647"/>
      <c r="U1" s="647"/>
      <c r="V1" s="647"/>
      <c r="W1" s="647"/>
    </row>
    <row r="2" spans="1:23" ht="15.75">
      <c r="A2" s="648" t="s">
        <v>389</v>
      </c>
      <c r="B2" s="648"/>
      <c r="C2" s="648"/>
      <c r="D2" s="648"/>
      <c r="E2" s="648"/>
      <c r="F2" s="648"/>
      <c r="G2" s="648"/>
      <c r="H2" s="648"/>
      <c r="I2" s="648"/>
      <c r="J2" s="648"/>
      <c r="K2" s="648"/>
      <c r="L2" s="648"/>
      <c r="M2" s="648"/>
      <c r="N2" s="648"/>
      <c r="O2" s="648"/>
      <c r="P2" s="648"/>
      <c r="Q2" s="648"/>
      <c r="R2" s="648"/>
      <c r="S2" s="648"/>
      <c r="T2" s="648"/>
      <c r="U2" s="648"/>
      <c r="V2" s="648"/>
      <c r="W2" s="648"/>
    </row>
    <row r="3" spans="1:24" ht="15.75">
      <c r="A3" s="649" t="s">
        <v>654</v>
      </c>
      <c r="B3" s="649"/>
      <c r="C3" s="649"/>
      <c r="D3" s="649"/>
      <c r="E3" s="649"/>
      <c r="F3" s="649"/>
      <c r="G3" s="649"/>
      <c r="H3" s="649"/>
      <c r="I3" s="649"/>
      <c r="J3" s="649"/>
      <c r="K3" s="649"/>
      <c r="L3" s="649"/>
      <c r="M3" s="649"/>
      <c r="N3" s="649"/>
      <c r="O3" s="649"/>
      <c r="P3" s="649"/>
      <c r="Q3" s="649"/>
      <c r="R3" s="649"/>
      <c r="S3" s="649"/>
      <c r="T3" s="649"/>
      <c r="U3" s="649"/>
      <c r="V3" s="649"/>
      <c r="W3" s="649"/>
      <c r="X3" s="179"/>
    </row>
    <row r="4" spans="1:23" ht="16.5" thickBot="1">
      <c r="A4" s="122"/>
      <c r="B4" s="122"/>
      <c r="C4" s="122"/>
      <c r="D4" s="122"/>
      <c r="E4" s="122"/>
      <c r="F4" s="122"/>
      <c r="G4" s="122"/>
      <c r="H4" s="122" t="s">
        <v>290</v>
      </c>
      <c r="I4" s="123"/>
      <c r="J4" s="123"/>
      <c r="K4" s="123"/>
      <c r="L4" s="123"/>
      <c r="M4" s="123"/>
      <c r="N4" s="123"/>
      <c r="O4" s="123"/>
      <c r="P4" s="123"/>
      <c r="Q4" s="123"/>
      <c r="R4" s="123"/>
      <c r="S4" s="123"/>
      <c r="T4" s="123"/>
      <c r="U4" s="123"/>
      <c r="V4" s="123"/>
      <c r="W4" s="11" t="s">
        <v>1</v>
      </c>
    </row>
    <row r="5" spans="1:28" ht="43.5" customHeight="1">
      <c r="A5" s="650" t="s">
        <v>2</v>
      </c>
      <c r="B5" s="651"/>
      <c r="C5" s="651"/>
      <c r="D5" s="651"/>
      <c r="E5" s="651"/>
      <c r="F5" s="652"/>
      <c r="G5" s="486" t="s">
        <v>3</v>
      </c>
      <c r="H5" s="469" t="s">
        <v>647</v>
      </c>
      <c r="I5" s="469" t="s">
        <v>648</v>
      </c>
      <c r="J5" s="469" t="s">
        <v>763</v>
      </c>
      <c r="K5" s="487" t="s">
        <v>649</v>
      </c>
      <c r="L5" s="469" t="s">
        <v>650</v>
      </c>
      <c r="M5" s="470" t="s">
        <v>651</v>
      </c>
      <c r="N5" s="469" t="s">
        <v>765</v>
      </c>
      <c r="O5" s="472" t="s">
        <v>652</v>
      </c>
      <c r="P5" s="488" t="s">
        <v>653</v>
      </c>
      <c r="Q5" s="469" t="s">
        <v>655</v>
      </c>
      <c r="R5" s="469" t="s">
        <v>656</v>
      </c>
      <c r="S5" s="469" t="s">
        <v>657</v>
      </c>
      <c r="T5" s="469" t="s">
        <v>658</v>
      </c>
      <c r="U5" s="470" t="s">
        <v>659</v>
      </c>
      <c r="V5" s="472" t="s">
        <v>660</v>
      </c>
      <c r="W5" s="488" t="s">
        <v>176</v>
      </c>
      <c r="X5" s="121"/>
      <c r="Y5" s="121"/>
      <c r="Z5" s="121"/>
      <c r="AA5" s="121"/>
      <c r="AB5" s="121"/>
    </row>
    <row r="6" spans="1:28" ht="15.75">
      <c r="A6" s="650" t="s">
        <v>7</v>
      </c>
      <c r="B6" s="651"/>
      <c r="C6" s="651"/>
      <c r="D6" s="651"/>
      <c r="E6" s="651"/>
      <c r="F6" s="652"/>
      <c r="G6" s="486"/>
      <c r="H6" s="489"/>
      <c r="I6" s="488"/>
      <c r="J6" s="490"/>
      <c r="K6" s="491"/>
      <c r="L6" s="489"/>
      <c r="M6" s="488"/>
      <c r="N6" s="490"/>
      <c r="O6" s="490"/>
      <c r="P6" s="488"/>
      <c r="Q6" s="488"/>
      <c r="R6" s="488"/>
      <c r="S6" s="488"/>
      <c r="T6" s="488"/>
      <c r="U6" s="488"/>
      <c r="V6" s="488"/>
      <c r="W6" s="488"/>
      <c r="X6" s="121"/>
      <c r="Y6" s="121"/>
      <c r="Z6" s="121"/>
      <c r="AA6" s="121"/>
      <c r="AB6" s="121"/>
    </row>
    <row r="7" spans="1:28" ht="15.75">
      <c r="A7" s="653" t="s">
        <v>8</v>
      </c>
      <c r="B7" s="654"/>
      <c r="C7" s="654"/>
      <c r="D7" s="654"/>
      <c r="E7" s="654"/>
      <c r="F7" s="655"/>
      <c r="G7" s="125"/>
      <c r="H7" s="126"/>
      <c r="I7" s="127"/>
      <c r="J7" s="389"/>
      <c r="K7" s="128"/>
      <c r="L7" s="129"/>
      <c r="M7" s="127"/>
      <c r="N7" s="389"/>
      <c r="O7" s="130"/>
      <c r="P7" s="127"/>
      <c r="Q7" s="127"/>
      <c r="R7" s="127"/>
      <c r="S7" s="127"/>
      <c r="T7" s="127"/>
      <c r="U7" s="127"/>
      <c r="V7" s="127"/>
      <c r="W7" s="127"/>
      <c r="X7" s="121"/>
      <c r="Y7" s="121"/>
      <c r="Z7" s="121"/>
      <c r="AA7" s="121"/>
      <c r="AB7" s="121"/>
    </row>
    <row r="8" spans="1:28" ht="15.75">
      <c r="A8" s="656" t="s">
        <v>9</v>
      </c>
      <c r="B8" s="656"/>
      <c r="C8" s="656"/>
      <c r="D8" s="656"/>
      <c r="E8" s="656"/>
      <c r="F8" s="656"/>
      <c r="G8" s="131">
        <v>10</v>
      </c>
      <c r="H8" s="132">
        <v>11219</v>
      </c>
      <c r="I8" s="133">
        <v>101393</v>
      </c>
      <c r="J8" s="386"/>
      <c r="K8" s="134">
        <v>0</v>
      </c>
      <c r="L8" s="135"/>
      <c r="M8" s="133"/>
      <c r="N8" s="386"/>
      <c r="O8" s="136"/>
      <c r="P8" s="133">
        <f aca="true" t="shared" si="0" ref="P8:P18">SUM(H8:O8)</f>
        <v>112612</v>
      </c>
      <c r="Q8" s="133">
        <v>11000</v>
      </c>
      <c r="R8" s="133">
        <v>142609</v>
      </c>
      <c r="S8" s="133">
        <v>60</v>
      </c>
      <c r="T8" s="133"/>
      <c r="U8" s="133"/>
      <c r="V8" s="133"/>
      <c r="W8" s="133">
        <f>SUM(Q8:V8)</f>
        <v>153669</v>
      </c>
      <c r="X8" s="238"/>
      <c r="Y8" s="121"/>
      <c r="Z8" s="121"/>
      <c r="AA8" s="121"/>
      <c r="AB8" s="121"/>
    </row>
    <row r="9" spans="1:28" ht="15.75">
      <c r="A9" s="646" t="s">
        <v>10</v>
      </c>
      <c r="B9" s="646"/>
      <c r="C9" s="646"/>
      <c r="D9" s="646"/>
      <c r="E9" s="646"/>
      <c r="F9" s="646"/>
      <c r="G9" s="131">
        <v>11</v>
      </c>
      <c r="H9" s="137">
        <v>1200</v>
      </c>
      <c r="I9" s="138"/>
      <c r="J9" s="388"/>
      <c r="K9" s="139">
        <v>0</v>
      </c>
      <c r="L9" s="140"/>
      <c r="M9" s="138"/>
      <c r="N9" s="388"/>
      <c r="O9" s="141"/>
      <c r="P9" s="133">
        <f t="shared" si="0"/>
        <v>1200</v>
      </c>
      <c r="Q9" s="133">
        <v>6140</v>
      </c>
      <c r="R9" s="133"/>
      <c r="S9" s="133"/>
      <c r="T9" s="133"/>
      <c r="U9" s="133"/>
      <c r="V9" s="133"/>
      <c r="W9" s="133">
        <f aca="true" t="shared" si="1" ref="W9:W18">SUM(Q9:V9)</f>
        <v>6140</v>
      </c>
      <c r="X9" s="121"/>
      <c r="Y9" s="121"/>
      <c r="Z9" s="121"/>
      <c r="AA9" s="121"/>
      <c r="AB9" s="121"/>
    </row>
    <row r="10" spans="1:28" ht="15.75">
      <c r="A10" s="646" t="s">
        <v>11</v>
      </c>
      <c r="B10" s="646"/>
      <c r="C10" s="646"/>
      <c r="D10" s="646"/>
      <c r="E10" s="646"/>
      <c r="F10" s="646"/>
      <c r="G10" s="131">
        <v>12</v>
      </c>
      <c r="H10" s="137"/>
      <c r="I10" s="138"/>
      <c r="J10" s="388"/>
      <c r="K10" s="139">
        <v>0</v>
      </c>
      <c r="L10" s="140"/>
      <c r="M10" s="138"/>
      <c r="N10" s="388"/>
      <c r="O10" s="141"/>
      <c r="P10" s="133">
        <f t="shared" si="0"/>
        <v>0</v>
      </c>
      <c r="Q10" s="133"/>
      <c r="R10" s="133"/>
      <c r="S10" s="133"/>
      <c r="T10" s="133"/>
      <c r="U10" s="133"/>
      <c r="V10" s="133"/>
      <c r="W10" s="133">
        <f t="shared" si="1"/>
        <v>0</v>
      </c>
      <c r="X10" s="121"/>
      <c r="Y10" s="121"/>
      <c r="Z10" s="121"/>
      <c r="AA10" s="121"/>
      <c r="AB10" s="121"/>
    </row>
    <row r="11" spans="1:28" ht="15.75">
      <c r="A11" s="657" t="s">
        <v>12</v>
      </c>
      <c r="B11" s="658"/>
      <c r="C11" s="658"/>
      <c r="D11" s="658"/>
      <c r="E11" s="658"/>
      <c r="F11" s="659"/>
      <c r="G11" s="131">
        <v>13</v>
      </c>
      <c r="H11" s="137"/>
      <c r="I11" s="138"/>
      <c r="J11" s="388"/>
      <c r="K11" s="139">
        <v>0</v>
      </c>
      <c r="L11" s="140"/>
      <c r="M11" s="138"/>
      <c r="N11" s="388"/>
      <c r="O11" s="141"/>
      <c r="P11" s="133">
        <f t="shared" si="0"/>
        <v>0</v>
      </c>
      <c r="Q11" s="133"/>
      <c r="R11" s="133"/>
      <c r="S11" s="133"/>
      <c r="T11" s="133"/>
      <c r="U11" s="133"/>
      <c r="V11" s="133"/>
      <c r="W11" s="133">
        <f t="shared" si="1"/>
        <v>0</v>
      </c>
      <c r="X11" s="121"/>
      <c r="Y11" s="121"/>
      <c r="Z11" s="121"/>
      <c r="AA11" s="121"/>
      <c r="AB11" s="121"/>
    </row>
    <row r="12" spans="1:28" ht="15.75">
      <c r="A12" s="646" t="s">
        <v>13</v>
      </c>
      <c r="B12" s="646"/>
      <c r="C12" s="646"/>
      <c r="D12" s="646"/>
      <c r="E12" s="646"/>
      <c r="F12" s="646"/>
      <c r="G12" s="131">
        <v>14</v>
      </c>
      <c r="H12" s="137"/>
      <c r="I12" s="138"/>
      <c r="J12" s="388"/>
      <c r="K12" s="139">
        <v>0</v>
      </c>
      <c r="L12" s="140"/>
      <c r="M12" s="138"/>
      <c r="N12" s="388"/>
      <c r="O12" s="141"/>
      <c r="P12" s="133">
        <f t="shared" si="0"/>
        <v>0</v>
      </c>
      <c r="Q12" s="133"/>
      <c r="R12" s="133"/>
      <c r="S12" s="133"/>
      <c r="T12" s="133"/>
      <c r="U12" s="133"/>
      <c r="V12" s="133"/>
      <c r="W12" s="133">
        <f t="shared" si="1"/>
        <v>0</v>
      </c>
      <c r="X12" s="121"/>
      <c r="Y12" s="121"/>
      <c r="Z12" s="121"/>
      <c r="AA12" s="121"/>
      <c r="AB12" s="121"/>
    </row>
    <row r="13" spans="1:28" ht="15.75">
      <c r="A13" s="646" t="s">
        <v>14</v>
      </c>
      <c r="B13" s="646"/>
      <c r="C13" s="646"/>
      <c r="D13" s="646"/>
      <c r="E13" s="646"/>
      <c r="F13" s="646"/>
      <c r="G13" s="131">
        <v>15</v>
      </c>
      <c r="H13" s="137"/>
      <c r="I13" s="138">
        <v>185715</v>
      </c>
      <c r="J13" s="388"/>
      <c r="K13" s="139">
        <v>0</v>
      </c>
      <c r="L13" s="140"/>
      <c r="M13" s="138"/>
      <c r="N13" s="388"/>
      <c r="O13" s="141"/>
      <c r="P13" s="133">
        <f t="shared" si="0"/>
        <v>185715</v>
      </c>
      <c r="Q13" s="133"/>
      <c r="R13" s="133">
        <v>195216</v>
      </c>
      <c r="S13" s="133"/>
      <c r="T13" s="133"/>
      <c r="U13" s="133"/>
      <c r="V13" s="133"/>
      <c r="W13" s="133">
        <f t="shared" si="1"/>
        <v>195216</v>
      </c>
      <c r="X13" s="121"/>
      <c r="Y13" s="121"/>
      <c r="Z13" s="121"/>
      <c r="AA13" s="121"/>
      <c r="AB13" s="121"/>
    </row>
    <row r="14" spans="1:28" ht="24.75" customHeight="1">
      <c r="A14" s="660" t="s">
        <v>15</v>
      </c>
      <c r="B14" s="660"/>
      <c r="C14" s="660"/>
      <c r="D14" s="660"/>
      <c r="E14" s="660"/>
      <c r="F14" s="660"/>
      <c r="G14" s="131">
        <v>16</v>
      </c>
      <c r="H14" s="132">
        <v>299163</v>
      </c>
      <c r="I14" s="133">
        <v>125161</v>
      </c>
      <c r="J14" s="386"/>
      <c r="K14" s="385">
        <v>0</v>
      </c>
      <c r="L14" s="163">
        <v>-268603</v>
      </c>
      <c r="M14" s="133"/>
      <c r="N14" s="386"/>
      <c r="O14" s="386"/>
      <c r="P14" s="133">
        <f t="shared" si="0"/>
        <v>155721</v>
      </c>
      <c r="Q14" s="133">
        <v>450358</v>
      </c>
      <c r="R14" s="133">
        <v>73432</v>
      </c>
      <c r="S14" s="133">
        <v>23478</v>
      </c>
      <c r="T14" s="133">
        <v>-409988</v>
      </c>
      <c r="U14" s="133"/>
      <c r="V14" s="133">
        <f>-2107-14994-3068</f>
        <v>-20169</v>
      </c>
      <c r="W14" s="133">
        <f t="shared" si="1"/>
        <v>117111</v>
      </c>
      <c r="X14" s="121"/>
      <c r="Y14" s="121"/>
      <c r="Z14" s="121"/>
      <c r="AA14" s="121"/>
      <c r="AB14" s="121"/>
    </row>
    <row r="15" spans="1:28" ht="15.75">
      <c r="A15" s="640" t="s">
        <v>661</v>
      </c>
      <c r="B15" s="641"/>
      <c r="C15" s="641"/>
      <c r="D15" s="641"/>
      <c r="E15" s="641"/>
      <c r="F15" s="642"/>
      <c r="G15" s="131">
        <v>17</v>
      </c>
      <c r="H15" s="132">
        <v>50113</v>
      </c>
      <c r="I15" s="133">
        <v>64896</v>
      </c>
      <c r="J15" s="386"/>
      <c r="K15" s="385">
        <v>0</v>
      </c>
      <c r="L15" s="135"/>
      <c r="M15" s="133"/>
      <c r="N15" s="386"/>
      <c r="O15" s="386"/>
      <c r="P15" s="133">
        <f t="shared" si="0"/>
        <v>115009</v>
      </c>
      <c r="Q15" s="133">
        <v>150417</v>
      </c>
      <c r="R15" s="133">
        <v>28512</v>
      </c>
      <c r="S15" s="133"/>
      <c r="T15" s="133"/>
      <c r="U15" s="133"/>
      <c r="V15" s="133">
        <v>-116</v>
      </c>
      <c r="W15" s="133">
        <f t="shared" si="1"/>
        <v>178813</v>
      </c>
      <c r="X15" s="121"/>
      <c r="Y15" s="121"/>
      <c r="Z15" s="121"/>
      <c r="AA15" s="121"/>
      <c r="AB15" s="121"/>
    </row>
    <row r="16" spans="1:28" ht="15.75">
      <c r="A16" s="656" t="s">
        <v>16</v>
      </c>
      <c r="B16" s="656"/>
      <c r="C16" s="656"/>
      <c r="D16" s="656"/>
      <c r="E16" s="656"/>
      <c r="F16" s="656"/>
      <c r="G16" s="131">
        <v>18</v>
      </c>
      <c r="H16" s="137">
        <v>46826</v>
      </c>
      <c r="I16" s="138">
        <v>8351</v>
      </c>
      <c r="J16" s="388"/>
      <c r="K16" s="387">
        <v>0</v>
      </c>
      <c r="L16" s="140"/>
      <c r="M16" s="138"/>
      <c r="N16" s="388"/>
      <c r="O16" s="388"/>
      <c r="P16" s="133">
        <f t="shared" si="0"/>
        <v>55177</v>
      </c>
      <c r="Q16" s="133">
        <v>0</v>
      </c>
      <c r="R16" s="133">
        <v>8197</v>
      </c>
      <c r="S16" s="133"/>
      <c r="T16" s="133"/>
      <c r="U16" s="133"/>
      <c r="V16" s="133"/>
      <c r="W16" s="133">
        <f t="shared" si="1"/>
        <v>8197</v>
      </c>
      <c r="X16" s="121"/>
      <c r="Y16" s="121"/>
      <c r="Z16" s="121"/>
      <c r="AA16" s="121"/>
      <c r="AB16" s="121"/>
    </row>
    <row r="17" spans="1:28" ht="15.75">
      <c r="A17" s="646" t="s">
        <v>17</v>
      </c>
      <c r="B17" s="646"/>
      <c r="C17" s="646"/>
      <c r="D17" s="646"/>
      <c r="E17" s="646"/>
      <c r="F17" s="646"/>
      <c r="G17" s="131">
        <v>19</v>
      </c>
      <c r="H17" s="132">
        <v>355407</v>
      </c>
      <c r="I17" s="133">
        <v>299158</v>
      </c>
      <c r="J17" s="386"/>
      <c r="K17" s="134">
        <v>0</v>
      </c>
      <c r="L17" s="135"/>
      <c r="M17" s="133"/>
      <c r="N17" s="386"/>
      <c r="O17" s="136"/>
      <c r="P17" s="133">
        <f t="shared" si="0"/>
        <v>654565</v>
      </c>
      <c r="Q17" s="133">
        <v>352125</v>
      </c>
      <c r="R17" s="133">
        <v>283704</v>
      </c>
      <c r="S17" s="133">
        <v>175</v>
      </c>
      <c r="T17" s="133"/>
      <c r="U17" s="133"/>
      <c r="V17" s="133"/>
      <c r="W17" s="133">
        <f t="shared" si="1"/>
        <v>636004</v>
      </c>
      <c r="X17" s="121"/>
      <c r="Y17" s="121"/>
      <c r="Z17" s="121"/>
      <c r="AA17" s="121"/>
      <c r="AB17" s="121"/>
    </row>
    <row r="18" spans="1:28" ht="15.75">
      <c r="A18" s="656" t="s">
        <v>18</v>
      </c>
      <c r="B18" s="656"/>
      <c r="C18" s="656"/>
      <c r="D18" s="656"/>
      <c r="E18" s="656"/>
      <c r="F18" s="656"/>
      <c r="G18" s="131">
        <v>20</v>
      </c>
      <c r="H18" s="132">
        <f>6915+18+10+913+137+1138</f>
        <v>9131</v>
      </c>
      <c r="I18" s="133">
        <v>19434</v>
      </c>
      <c r="J18" s="386"/>
      <c r="K18" s="134">
        <v>0</v>
      </c>
      <c r="L18" s="135"/>
      <c r="M18" s="133"/>
      <c r="N18" s="386"/>
      <c r="O18" s="136"/>
      <c r="P18" s="133">
        <f t="shared" si="0"/>
        <v>28565</v>
      </c>
      <c r="Q18" s="133">
        <f>6145+14+1248+76</f>
        <v>7483</v>
      </c>
      <c r="R18" s="133">
        <v>15018</v>
      </c>
      <c r="S18" s="133">
        <f>657</f>
        <v>657</v>
      </c>
      <c r="T18" s="133"/>
      <c r="U18" s="133"/>
      <c r="V18" s="133"/>
      <c r="W18" s="133">
        <f t="shared" si="1"/>
        <v>23158</v>
      </c>
      <c r="X18" s="121"/>
      <c r="Y18" s="121"/>
      <c r="Z18" s="121"/>
      <c r="AA18" s="121"/>
      <c r="AB18" s="121"/>
    </row>
    <row r="19" spans="1:28" ht="15.75">
      <c r="A19" s="661" t="s">
        <v>19</v>
      </c>
      <c r="B19" s="661"/>
      <c r="C19" s="661"/>
      <c r="D19" s="661"/>
      <c r="E19" s="661"/>
      <c r="F19" s="661"/>
      <c r="G19" s="408">
        <v>100</v>
      </c>
      <c r="H19" s="143">
        <f>SUM(H8:H18)</f>
        <v>773059</v>
      </c>
      <c r="I19" s="144">
        <f>SUM(I8:I18)</f>
        <v>804108</v>
      </c>
      <c r="J19" s="390"/>
      <c r="K19" s="143">
        <f>SUM(K8:K18)</f>
        <v>0</v>
      </c>
      <c r="L19" s="116">
        <f>SUM(L8:L18)</f>
        <v>-268603</v>
      </c>
      <c r="M19" s="143">
        <f>SUM(M8:M18)</f>
        <v>0</v>
      </c>
      <c r="N19" s="399"/>
      <c r="O19" s="391"/>
      <c r="P19" s="116">
        <f aca="true" t="shared" si="2" ref="P19:W19">SUM(P8:P18)</f>
        <v>1308564</v>
      </c>
      <c r="Q19" s="144">
        <f t="shared" si="2"/>
        <v>977523</v>
      </c>
      <c r="R19" s="144">
        <f t="shared" si="2"/>
        <v>746688</v>
      </c>
      <c r="S19" s="144">
        <f t="shared" si="2"/>
        <v>24370</v>
      </c>
      <c r="T19" s="144">
        <f t="shared" si="2"/>
        <v>-409988</v>
      </c>
      <c r="U19" s="144">
        <f t="shared" si="2"/>
        <v>0</v>
      </c>
      <c r="V19" s="144">
        <f t="shared" si="2"/>
        <v>-20285</v>
      </c>
      <c r="W19" s="144">
        <f t="shared" si="2"/>
        <v>1318308</v>
      </c>
      <c r="X19" s="121"/>
      <c r="Y19" s="121"/>
      <c r="Z19" s="121"/>
      <c r="AA19" s="121"/>
      <c r="AB19" s="121"/>
    </row>
    <row r="20" spans="1:28" ht="30" customHeight="1">
      <c r="A20" s="662" t="s">
        <v>20</v>
      </c>
      <c r="B20" s="662"/>
      <c r="C20" s="662"/>
      <c r="D20" s="662"/>
      <c r="E20" s="662"/>
      <c r="F20" s="662"/>
      <c r="G20" s="408">
        <v>101</v>
      </c>
      <c r="H20" s="143"/>
      <c r="I20" s="144"/>
      <c r="J20" s="391"/>
      <c r="K20" s="497"/>
      <c r="L20" s="145"/>
      <c r="M20" s="144"/>
      <c r="N20" s="391"/>
      <c r="O20" s="391"/>
      <c r="P20" s="133">
        <f aca="true" t="shared" si="3" ref="P20:P59">SUM(H20:O20)</f>
        <v>0</v>
      </c>
      <c r="Q20" s="133"/>
      <c r="R20" s="133"/>
      <c r="S20" s="133"/>
      <c r="T20" s="133"/>
      <c r="U20" s="133"/>
      <c r="V20" s="133"/>
      <c r="W20" s="144"/>
      <c r="X20" s="121"/>
      <c r="Y20" s="121"/>
      <c r="Z20" s="121"/>
      <c r="AA20" s="121"/>
      <c r="AB20" s="121"/>
    </row>
    <row r="21" spans="1:28" ht="15.75">
      <c r="A21" s="653" t="s">
        <v>21</v>
      </c>
      <c r="B21" s="654"/>
      <c r="C21" s="654"/>
      <c r="D21" s="654"/>
      <c r="E21" s="654"/>
      <c r="F21" s="655"/>
      <c r="G21" s="125"/>
      <c r="H21" s="146"/>
      <c r="I21" s="127"/>
      <c r="J21" s="389"/>
      <c r="K21" s="128"/>
      <c r="L21" s="129"/>
      <c r="M21" s="127"/>
      <c r="N21" s="389"/>
      <c r="O21" s="130"/>
      <c r="P21" s="133">
        <f t="shared" si="3"/>
        <v>0</v>
      </c>
      <c r="Q21" s="133"/>
      <c r="R21" s="133"/>
      <c r="S21" s="133"/>
      <c r="T21" s="133"/>
      <c r="U21" s="133"/>
      <c r="V21" s="133"/>
      <c r="W21" s="127"/>
      <c r="X21" s="121"/>
      <c r="Y21" s="121"/>
      <c r="Z21" s="121"/>
      <c r="AA21" s="121"/>
      <c r="AB21" s="121"/>
    </row>
    <row r="22" spans="1:28" ht="15.75">
      <c r="A22" s="646" t="s">
        <v>10</v>
      </c>
      <c r="B22" s="646"/>
      <c r="C22" s="646"/>
      <c r="D22" s="646"/>
      <c r="E22" s="646"/>
      <c r="F22" s="646"/>
      <c r="G22" s="131">
        <v>110</v>
      </c>
      <c r="H22" s="132"/>
      <c r="I22" s="133"/>
      <c r="J22" s="386"/>
      <c r="K22" s="134"/>
      <c r="L22" s="135"/>
      <c r="M22" s="133"/>
      <c r="N22" s="386"/>
      <c r="O22" s="136"/>
      <c r="P22" s="133">
        <f t="shared" si="3"/>
        <v>0</v>
      </c>
      <c r="Q22" s="133"/>
      <c r="R22" s="133"/>
      <c r="S22" s="133"/>
      <c r="T22" s="133"/>
      <c r="U22" s="133"/>
      <c r="V22" s="133"/>
      <c r="W22" s="133">
        <f>SUM(Q22:V22)</f>
        <v>0</v>
      </c>
      <c r="X22" s="121"/>
      <c r="Y22" s="121"/>
      <c r="Z22" s="121"/>
      <c r="AA22" s="121"/>
      <c r="AB22" s="121"/>
    </row>
    <row r="23" spans="1:28" ht="15.75">
      <c r="A23" s="646" t="s">
        <v>11</v>
      </c>
      <c r="B23" s="646"/>
      <c r="C23" s="646"/>
      <c r="D23" s="646"/>
      <c r="E23" s="646"/>
      <c r="F23" s="646"/>
      <c r="G23" s="131">
        <v>111</v>
      </c>
      <c r="H23" s="132"/>
      <c r="I23" s="133"/>
      <c r="J23" s="386"/>
      <c r="K23" s="134">
        <v>0</v>
      </c>
      <c r="L23" s="135"/>
      <c r="M23" s="133"/>
      <c r="N23" s="386"/>
      <c r="O23" s="136"/>
      <c r="P23" s="133">
        <f t="shared" si="3"/>
        <v>0</v>
      </c>
      <c r="Q23" s="133"/>
      <c r="R23" s="133"/>
      <c r="S23" s="133"/>
      <c r="T23" s="133"/>
      <c r="U23" s="133"/>
      <c r="V23" s="133"/>
      <c r="W23" s="133">
        <f aca="true" t="shared" si="4" ref="W23:W35">SUM(Q23:V23)</f>
        <v>0</v>
      </c>
      <c r="X23" s="121"/>
      <c r="Y23" s="121"/>
      <c r="Z23" s="121"/>
      <c r="AA23" s="121"/>
      <c r="AB23" s="121"/>
    </row>
    <row r="24" spans="1:28" ht="15.75">
      <c r="A24" s="657" t="s">
        <v>12</v>
      </c>
      <c r="B24" s="658"/>
      <c r="C24" s="658"/>
      <c r="D24" s="658"/>
      <c r="E24" s="658"/>
      <c r="F24" s="659"/>
      <c r="G24" s="131">
        <v>112</v>
      </c>
      <c r="H24" s="132"/>
      <c r="I24" s="133"/>
      <c r="J24" s="386"/>
      <c r="K24" s="134">
        <v>0</v>
      </c>
      <c r="L24" s="135"/>
      <c r="M24" s="133"/>
      <c r="N24" s="386"/>
      <c r="O24" s="136"/>
      <c r="P24" s="133">
        <f t="shared" si="3"/>
        <v>0</v>
      </c>
      <c r="Q24" s="133"/>
      <c r="R24" s="133"/>
      <c r="S24" s="133"/>
      <c r="T24" s="133"/>
      <c r="U24" s="133"/>
      <c r="V24" s="133"/>
      <c r="W24" s="133">
        <f t="shared" si="4"/>
        <v>0</v>
      </c>
      <c r="X24" s="121"/>
      <c r="Y24" s="121"/>
      <c r="Z24" s="121"/>
      <c r="AA24" s="121"/>
      <c r="AB24" s="121"/>
    </row>
    <row r="25" spans="1:28" ht="15.75">
      <c r="A25" s="646" t="s">
        <v>13</v>
      </c>
      <c r="B25" s="646"/>
      <c r="C25" s="646"/>
      <c r="D25" s="646"/>
      <c r="E25" s="646"/>
      <c r="F25" s="646"/>
      <c r="G25" s="131">
        <v>113</v>
      </c>
      <c r="H25" s="132"/>
      <c r="I25" s="133"/>
      <c r="J25" s="386"/>
      <c r="K25" s="134">
        <v>0</v>
      </c>
      <c r="L25" s="135"/>
      <c r="M25" s="133"/>
      <c r="N25" s="386"/>
      <c r="O25" s="136"/>
      <c r="P25" s="133">
        <f t="shared" si="3"/>
        <v>0</v>
      </c>
      <c r="Q25" s="133"/>
      <c r="R25" s="133"/>
      <c r="S25" s="133"/>
      <c r="T25" s="133"/>
      <c r="U25" s="133"/>
      <c r="V25" s="133"/>
      <c r="W25" s="133">
        <f t="shared" si="4"/>
        <v>0</v>
      </c>
      <c r="X25" s="121"/>
      <c r="Y25" s="121"/>
      <c r="Z25" s="121"/>
      <c r="AA25" s="121"/>
      <c r="AB25" s="121"/>
    </row>
    <row r="26" spans="1:28" ht="15.75">
      <c r="A26" s="646" t="s">
        <v>22</v>
      </c>
      <c r="B26" s="646"/>
      <c r="C26" s="646"/>
      <c r="D26" s="646"/>
      <c r="E26" s="646"/>
      <c r="F26" s="646"/>
      <c r="G26" s="131">
        <v>114</v>
      </c>
      <c r="H26" s="132">
        <v>3715916</v>
      </c>
      <c r="I26" s="133"/>
      <c r="J26" s="386"/>
      <c r="K26" s="134">
        <v>0</v>
      </c>
      <c r="L26" s="135"/>
      <c r="M26" s="133"/>
      <c r="N26" s="386"/>
      <c r="O26" s="136"/>
      <c r="P26" s="133">
        <f t="shared" si="3"/>
        <v>3715916</v>
      </c>
      <c r="Q26" s="133">
        <v>2774831</v>
      </c>
      <c r="R26" s="133"/>
      <c r="S26" s="133"/>
      <c r="T26" s="133"/>
      <c r="U26" s="133"/>
      <c r="V26" s="133"/>
      <c r="W26" s="133">
        <f t="shared" si="4"/>
        <v>2774831</v>
      </c>
      <c r="X26" s="121"/>
      <c r="Y26" s="121"/>
      <c r="Z26" s="121"/>
      <c r="AA26" s="121"/>
      <c r="AB26" s="121"/>
    </row>
    <row r="27" spans="1:28" ht="15.75">
      <c r="A27" s="656" t="s">
        <v>23</v>
      </c>
      <c r="B27" s="656"/>
      <c r="C27" s="656"/>
      <c r="D27" s="656"/>
      <c r="E27" s="656"/>
      <c r="F27" s="656"/>
      <c r="G27" s="131">
        <v>115</v>
      </c>
      <c r="H27" s="132"/>
      <c r="I27" s="133"/>
      <c r="J27" s="386"/>
      <c r="K27" s="134"/>
      <c r="L27" s="135"/>
      <c r="M27" s="133"/>
      <c r="N27" s="386"/>
      <c r="O27" s="136"/>
      <c r="P27" s="133">
        <f t="shared" si="3"/>
        <v>0</v>
      </c>
      <c r="Q27" s="133"/>
      <c r="R27" s="133"/>
      <c r="S27" s="133"/>
      <c r="T27" s="133"/>
      <c r="U27" s="133"/>
      <c r="V27" s="133"/>
      <c r="W27" s="133">
        <f t="shared" si="4"/>
        <v>0</v>
      </c>
      <c r="X27" s="121"/>
      <c r="Y27" s="121"/>
      <c r="Z27" s="121"/>
      <c r="AA27" s="121"/>
      <c r="AB27" s="121"/>
    </row>
    <row r="28" spans="1:28" ht="15.75">
      <c r="A28" s="656" t="s">
        <v>24</v>
      </c>
      <c r="B28" s="656"/>
      <c r="C28" s="656"/>
      <c r="D28" s="656"/>
      <c r="E28" s="656"/>
      <c r="F28" s="656"/>
      <c r="G28" s="131">
        <v>116</v>
      </c>
      <c r="H28" s="132">
        <v>95084</v>
      </c>
      <c r="I28" s="133"/>
      <c r="J28" s="386"/>
      <c r="K28" s="134">
        <v>0</v>
      </c>
      <c r="L28" s="163">
        <v>-95084</v>
      </c>
      <c r="M28" s="133"/>
      <c r="N28" s="386"/>
      <c r="O28" s="136"/>
      <c r="P28" s="133">
        <f t="shared" si="3"/>
        <v>0</v>
      </c>
      <c r="Q28" s="133">
        <v>95084</v>
      </c>
      <c r="R28" s="133"/>
      <c r="S28" s="133"/>
      <c r="T28" s="133">
        <v>-95084</v>
      </c>
      <c r="U28" s="133"/>
      <c r="V28" s="133"/>
      <c r="W28" s="133">
        <f t="shared" si="4"/>
        <v>0</v>
      </c>
      <c r="X28" s="121"/>
      <c r="Y28" s="121"/>
      <c r="Z28" s="121"/>
      <c r="AA28" s="121"/>
      <c r="AB28" s="121"/>
    </row>
    <row r="29" spans="1:28" ht="15.75">
      <c r="A29" s="656" t="s">
        <v>25</v>
      </c>
      <c r="B29" s="656"/>
      <c r="C29" s="656"/>
      <c r="D29" s="656"/>
      <c r="E29" s="656"/>
      <c r="F29" s="656"/>
      <c r="G29" s="131">
        <v>117</v>
      </c>
      <c r="H29" s="132"/>
      <c r="I29" s="133"/>
      <c r="J29" s="386"/>
      <c r="K29" s="134">
        <v>0</v>
      </c>
      <c r="L29" s="135"/>
      <c r="M29" s="133"/>
      <c r="N29" s="386"/>
      <c r="O29" s="136"/>
      <c r="P29" s="133">
        <f t="shared" si="3"/>
        <v>0</v>
      </c>
      <c r="Q29" s="133"/>
      <c r="R29" s="133"/>
      <c r="S29" s="133"/>
      <c r="T29" s="133"/>
      <c r="U29" s="133"/>
      <c r="V29" s="133"/>
      <c r="W29" s="133">
        <f t="shared" si="4"/>
        <v>0</v>
      </c>
      <c r="X29" s="121"/>
      <c r="Y29" s="121"/>
      <c r="Z29" s="121"/>
      <c r="AA29" s="121"/>
      <c r="AB29" s="121"/>
    </row>
    <row r="30" spans="1:28" ht="15.75">
      <c r="A30" s="656" t="s">
        <v>26</v>
      </c>
      <c r="B30" s="656"/>
      <c r="C30" s="656"/>
      <c r="D30" s="656"/>
      <c r="E30" s="656"/>
      <c r="F30" s="656"/>
      <c r="G30" s="131">
        <v>118</v>
      </c>
      <c r="H30" s="132">
        <v>1631932</v>
      </c>
      <c r="I30" s="133">
        <v>209351</v>
      </c>
      <c r="J30" s="386"/>
      <c r="K30" s="134">
        <v>0</v>
      </c>
      <c r="L30" s="135"/>
      <c r="M30" s="133"/>
      <c r="N30" s="386"/>
      <c r="O30" s="136"/>
      <c r="P30" s="133">
        <f t="shared" si="3"/>
        <v>1841283</v>
      </c>
      <c r="Q30" s="133">
        <v>1744712</v>
      </c>
      <c r="R30" s="133">
        <v>229714</v>
      </c>
      <c r="S30" s="133">
        <v>79</v>
      </c>
      <c r="T30" s="133">
        <v>0</v>
      </c>
      <c r="U30" s="133"/>
      <c r="V30" s="133"/>
      <c r="W30" s="133">
        <f t="shared" si="4"/>
        <v>1974505</v>
      </c>
      <c r="X30" s="121"/>
      <c r="Y30" s="121"/>
      <c r="Z30" s="121"/>
      <c r="AA30" s="121"/>
      <c r="AB30" s="121"/>
    </row>
    <row r="31" spans="1:28" ht="15.75">
      <c r="A31" s="656" t="s">
        <v>27</v>
      </c>
      <c r="B31" s="656"/>
      <c r="C31" s="656"/>
      <c r="D31" s="656"/>
      <c r="E31" s="656"/>
      <c r="F31" s="656"/>
      <c r="G31" s="131">
        <v>119</v>
      </c>
      <c r="H31" s="132"/>
      <c r="I31" s="133"/>
      <c r="J31" s="386"/>
      <c r="K31" s="134">
        <v>0</v>
      </c>
      <c r="L31" s="135"/>
      <c r="M31" s="133"/>
      <c r="N31" s="386"/>
      <c r="O31" s="136"/>
      <c r="P31" s="133">
        <f t="shared" si="3"/>
        <v>0</v>
      </c>
      <c r="Q31" s="133"/>
      <c r="R31" s="133"/>
      <c r="S31" s="133"/>
      <c r="T31" s="133"/>
      <c r="U31" s="133"/>
      <c r="V31" s="133"/>
      <c r="W31" s="133">
        <f t="shared" si="4"/>
        <v>0</v>
      </c>
      <c r="X31" s="121"/>
      <c r="Y31" s="121"/>
      <c r="Z31" s="121"/>
      <c r="AA31" s="121"/>
      <c r="AB31" s="121"/>
    </row>
    <row r="32" spans="1:28" ht="15.75">
      <c r="A32" s="656" t="s">
        <v>28</v>
      </c>
      <c r="B32" s="656"/>
      <c r="C32" s="656"/>
      <c r="D32" s="656"/>
      <c r="E32" s="656"/>
      <c r="F32" s="656"/>
      <c r="G32" s="131">
        <v>120</v>
      </c>
      <c r="H32" s="132"/>
      <c r="I32" s="133"/>
      <c r="J32" s="386"/>
      <c r="K32" s="134">
        <v>0</v>
      </c>
      <c r="L32" s="135"/>
      <c r="M32" s="133"/>
      <c r="N32" s="386"/>
      <c r="O32" s="136"/>
      <c r="P32" s="133">
        <f t="shared" si="3"/>
        <v>0</v>
      </c>
      <c r="Q32" s="133"/>
      <c r="R32" s="133"/>
      <c r="S32" s="133"/>
      <c r="T32" s="133"/>
      <c r="U32" s="133"/>
      <c r="V32" s="133"/>
      <c r="W32" s="133">
        <f t="shared" si="4"/>
        <v>0</v>
      </c>
      <c r="X32" s="121"/>
      <c r="Y32" s="121"/>
      <c r="Z32" s="121"/>
      <c r="AA32" s="121"/>
      <c r="AB32" s="121"/>
    </row>
    <row r="33" spans="1:28" ht="15.75">
      <c r="A33" s="663" t="s">
        <v>29</v>
      </c>
      <c r="B33" s="663"/>
      <c r="C33" s="663"/>
      <c r="D33" s="663"/>
      <c r="E33" s="663"/>
      <c r="F33" s="663"/>
      <c r="G33" s="131">
        <v>121</v>
      </c>
      <c r="H33" s="132">
        <v>20753</v>
      </c>
      <c r="I33" s="133">
        <v>4808</v>
      </c>
      <c r="J33" s="386"/>
      <c r="K33" s="134">
        <v>0</v>
      </c>
      <c r="L33" s="135"/>
      <c r="M33" s="133"/>
      <c r="N33" s="386"/>
      <c r="O33" s="136"/>
      <c r="P33" s="133">
        <f t="shared" si="3"/>
        <v>25561</v>
      </c>
      <c r="Q33" s="133">
        <v>2584</v>
      </c>
      <c r="R33" s="133">
        <v>1516</v>
      </c>
      <c r="S33" s="133">
        <v>42</v>
      </c>
      <c r="T33" s="133">
        <v>0</v>
      </c>
      <c r="U33" s="133"/>
      <c r="V33" s="133"/>
      <c r="W33" s="133">
        <f t="shared" si="4"/>
        <v>4142</v>
      </c>
      <c r="X33" s="121"/>
      <c r="Y33" s="121"/>
      <c r="Z33" s="121"/>
      <c r="AA33" s="121"/>
      <c r="AB33" s="121"/>
    </row>
    <row r="34" spans="1:28" ht="15.75">
      <c r="A34" s="663" t="s">
        <v>430</v>
      </c>
      <c r="B34" s="663"/>
      <c r="C34" s="663"/>
      <c r="D34" s="663"/>
      <c r="E34" s="663"/>
      <c r="F34" s="663"/>
      <c r="G34" s="131">
        <v>122</v>
      </c>
      <c r="H34" s="132"/>
      <c r="I34" s="133">
        <v>213</v>
      </c>
      <c r="J34" s="386"/>
      <c r="K34" s="134">
        <v>0</v>
      </c>
      <c r="L34" s="135"/>
      <c r="M34" s="133"/>
      <c r="N34" s="386"/>
      <c r="O34" s="136"/>
      <c r="P34" s="133">
        <f t="shared" si="3"/>
        <v>213</v>
      </c>
      <c r="Q34" s="133"/>
      <c r="R34" s="133">
        <v>21124</v>
      </c>
      <c r="S34" s="133"/>
      <c r="T34" s="133"/>
      <c r="U34" s="133"/>
      <c r="V34" s="133"/>
      <c r="W34" s="133">
        <f t="shared" si="4"/>
        <v>21124</v>
      </c>
      <c r="X34" s="121"/>
      <c r="Y34" s="121"/>
      <c r="Z34" s="121"/>
      <c r="AA34" s="121"/>
      <c r="AB34" s="121"/>
    </row>
    <row r="35" spans="1:28" ht="15.75">
      <c r="A35" s="656" t="s">
        <v>30</v>
      </c>
      <c r="B35" s="656"/>
      <c r="C35" s="656"/>
      <c r="D35" s="656"/>
      <c r="E35" s="656"/>
      <c r="F35" s="656"/>
      <c r="G35" s="131">
        <v>123</v>
      </c>
      <c r="H35" s="132">
        <v>97421</v>
      </c>
      <c r="I35" s="133"/>
      <c r="J35" s="386"/>
      <c r="K35" s="134">
        <v>0</v>
      </c>
      <c r="L35" s="135"/>
      <c r="M35" s="133"/>
      <c r="N35" s="386"/>
      <c r="O35" s="136"/>
      <c r="P35" s="133">
        <f t="shared" si="3"/>
        <v>97421</v>
      </c>
      <c r="Q35" s="133">
        <v>113357</v>
      </c>
      <c r="R35" s="133"/>
      <c r="S35" s="133"/>
      <c r="T35" s="133"/>
      <c r="U35" s="133"/>
      <c r="V35" s="133"/>
      <c r="W35" s="133">
        <f t="shared" si="4"/>
        <v>113357</v>
      </c>
      <c r="X35" s="121"/>
      <c r="Y35" s="121"/>
      <c r="Z35" s="121"/>
      <c r="AA35" s="121"/>
      <c r="AB35" s="121"/>
    </row>
    <row r="36" spans="1:28" ht="15.75">
      <c r="A36" s="664" t="s">
        <v>31</v>
      </c>
      <c r="B36" s="664"/>
      <c r="C36" s="664"/>
      <c r="D36" s="664"/>
      <c r="E36" s="664"/>
      <c r="F36" s="664"/>
      <c r="G36" s="142">
        <v>200</v>
      </c>
      <c r="H36" s="143">
        <f>SUM(H26:H35)</f>
        <v>5561106</v>
      </c>
      <c r="I36" s="143">
        <f>SUM(I26:I35)</f>
        <v>214372</v>
      </c>
      <c r="J36" s="143"/>
      <c r="K36" s="143">
        <f>SUM(K26:K35)</f>
        <v>0</v>
      </c>
      <c r="L36" s="163">
        <f>SUM(L26:L35)</f>
        <v>-95084</v>
      </c>
      <c r="M36" s="143">
        <f>SUM(M26:M35)</f>
        <v>0</v>
      </c>
      <c r="N36" s="400"/>
      <c r="O36" s="147"/>
      <c r="P36" s="144">
        <f t="shared" si="3"/>
        <v>5680394</v>
      </c>
      <c r="Q36" s="144">
        <f aca="true" t="shared" si="5" ref="Q36:W36">SUM(Q22:Q35)</f>
        <v>4730568</v>
      </c>
      <c r="R36" s="144">
        <f t="shared" si="5"/>
        <v>252354</v>
      </c>
      <c r="S36" s="144">
        <f t="shared" si="5"/>
        <v>121</v>
      </c>
      <c r="T36" s="144">
        <f t="shared" si="5"/>
        <v>-95084</v>
      </c>
      <c r="U36" s="144">
        <f t="shared" si="5"/>
        <v>0</v>
      </c>
      <c r="V36" s="144">
        <f t="shared" si="5"/>
        <v>0</v>
      </c>
      <c r="W36" s="144">
        <f t="shared" si="5"/>
        <v>4887959</v>
      </c>
      <c r="X36" s="121"/>
      <c r="Y36" s="121"/>
      <c r="Z36" s="121"/>
      <c r="AA36" s="121"/>
      <c r="AB36" s="121"/>
    </row>
    <row r="37" spans="1:28" ht="15.75">
      <c r="A37" s="665" t="s">
        <v>32</v>
      </c>
      <c r="B37" s="665"/>
      <c r="C37" s="665"/>
      <c r="D37" s="665"/>
      <c r="E37" s="665"/>
      <c r="F37" s="665"/>
      <c r="G37" s="492"/>
      <c r="H37" s="493">
        <f>H19+H36</f>
        <v>6334165</v>
      </c>
      <c r="I37" s="493">
        <f>I19+I36</f>
        <v>1018480</v>
      </c>
      <c r="J37" s="493"/>
      <c r="K37" s="493">
        <f>K19+K36</f>
        <v>0</v>
      </c>
      <c r="L37" s="468">
        <f>L19+L36</f>
        <v>-363687</v>
      </c>
      <c r="M37" s="493">
        <f>M19+M36</f>
        <v>0</v>
      </c>
      <c r="N37" s="494"/>
      <c r="O37" s="495"/>
      <c r="P37" s="493">
        <f>P19+P36</f>
        <v>6988958</v>
      </c>
      <c r="Q37" s="481">
        <f aca="true" t="shared" si="6" ref="Q37:W37">Q36+Q19</f>
        <v>5708091</v>
      </c>
      <c r="R37" s="481">
        <f t="shared" si="6"/>
        <v>999042</v>
      </c>
      <c r="S37" s="481">
        <f t="shared" si="6"/>
        <v>24491</v>
      </c>
      <c r="T37" s="481">
        <f t="shared" si="6"/>
        <v>-505072</v>
      </c>
      <c r="U37" s="481">
        <f t="shared" si="6"/>
        <v>0</v>
      </c>
      <c r="V37" s="481">
        <f t="shared" si="6"/>
        <v>-20285</v>
      </c>
      <c r="W37" s="481">
        <f t="shared" si="6"/>
        <v>6206267</v>
      </c>
      <c r="X37" s="121"/>
      <c r="Y37" s="121"/>
      <c r="Z37" s="121"/>
      <c r="AA37" s="121"/>
      <c r="AB37" s="121"/>
    </row>
    <row r="38" spans="1:28" ht="15.75">
      <c r="A38" s="650" t="s">
        <v>33</v>
      </c>
      <c r="B38" s="651"/>
      <c r="C38" s="651"/>
      <c r="D38" s="651"/>
      <c r="E38" s="651"/>
      <c r="F38" s="652"/>
      <c r="G38" s="486"/>
      <c r="H38" s="486"/>
      <c r="I38" s="486"/>
      <c r="J38" s="486"/>
      <c r="K38" s="486"/>
      <c r="L38" s="486"/>
      <c r="M38" s="486"/>
      <c r="N38" s="486"/>
      <c r="O38" s="486"/>
      <c r="P38" s="496">
        <f t="shared" si="3"/>
        <v>0</v>
      </c>
      <c r="Q38" s="496"/>
      <c r="R38" s="496"/>
      <c r="S38" s="496"/>
      <c r="T38" s="496"/>
      <c r="U38" s="496"/>
      <c r="V38" s="496"/>
      <c r="W38" s="488"/>
      <c r="X38" s="121"/>
      <c r="Y38" s="121"/>
      <c r="Z38" s="121"/>
      <c r="AA38" s="121"/>
      <c r="AB38" s="121"/>
    </row>
    <row r="39" spans="1:28" ht="15.75">
      <c r="A39" s="653" t="s">
        <v>34</v>
      </c>
      <c r="B39" s="654"/>
      <c r="C39" s="654"/>
      <c r="D39" s="654"/>
      <c r="E39" s="654"/>
      <c r="F39" s="655"/>
      <c r="G39" s="131"/>
      <c r="H39" s="146"/>
      <c r="I39" s="127"/>
      <c r="J39" s="389"/>
      <c r="K39" s="128"/>
      <c r="L39" s="129"/>
      <c r="M39" s="127"/>
      <c r="N39" s="389"/>
      <c r="O39" s="130"/>
      <c r="P39" s="133">
        <f t="shared" si="3"/>
        <v>0</v>
      </c>
      <c r="Q39" s="133"/>
      <c r="R39" s="133"/>
      <c r="S39" s="133"/>
      <c r="T39" s="133"/>
      <c r="U39" s="133"/>
      <c r="V39" s="133"/>
      <c r="W39" s="127"/>
      <c r="X39" s="121"/>
      <c r="Y39" s="121"/>
      <c r="Z39" s="121"/>
      <c r="AA39" s="121"/>
      <c r="AB39" s="121"/>
    </row>
    <row r="40" spans="1:28" ht="15.75">
      <c r="A40" s="666" t="s">
        <v>35</v>
      </c>
      <c r="B40" s="666"/>
      <c r="C40" s="666"/>
      <c r="D40" s="666"/>
      <c r="E40" s="666"/>
      <c r="F40" s="666"/>
      <c r="G40" s="131">
        <v>210</v>
      </c>
      <c r="H40" s="132">
        <v>119000</v>
      </c>
      <c r="I40" s="133">
        <v>237737</v>
      </c>
      <c r="J40" s="386"/>
      <c r="K40" s="134"/>
      <c r="L40" s="135"/>
      <c r="M40" s="133"/>
      <c r="N40" s="386"/>
      <c r="O40" s="136"/>
      <c r="P40" s="133">
        <f t="shared" si="3"/>
        <v>356737</v>
      </c>
      <c r="Q40" s="133">
        <v>220000</v>
      </c>
      <c r="R40" s="133">
        <v>290282</v>
      </c>
      <c r="S40" s="133"/>
      <c r="T40" s="133"/>
      <c r="U40" s="133"/>
      <c r="V40" s="133"/>
      <c r="W40" s="133">
        <f>SUM(Q40:V40)</f>
        <v>510282</v>
      </c>
      <c r="X40" s="121"/>
      <c r="Y40" s="121"/>
      <c r="Z40" s="121"/>
      <c r="AA40" s="121"/>
      <c r="AB40" s="121"/>
    </row>
    <row r="41" spans="1:28" ht="15.75">
      <c r="A41" s="667" t="s">
        <v>11</v>
      </c>
      <c r="B41" s="667"/>
      <c r="C41" s="667"/>
      <c r="D41" s="667"/>
      <c r="E41" s="667"/>
      <c r="F41" s="667"/>
      <c r="G41" s="131">
        <v>211</v>
      </c>
      <c r="H41" s="132"/>
      <c r="I41" s="133"/>
      <c r="J41" s="386"/>
      <c r="K41" s="134">
        <v>0</v>
      </c>
      <c r="L41" s="135"/>
      <c r="M41" s="133"/>
      <c r="N41" s="386"/>
      <c r="O41" s="136"/>
      <c r="P41" s="133">
        <f t="shared" si="3"/>
        <v>0</v>
      </c>
      <c r="Q41" s="133"/>
      <c r="R41" s="133"/>
      <c r="S41" s="133"/>
      <c r="T41" s="133"/>
      <c r="U41" s="133"/>
      <c r="V41" s="133"/>
      <c r="W41" s="133">
        <f aca="true" t="shared" si="7" ref="W41:W48">SUM(Q41:V41)</f>
        <v>0</v>
      </c>
      <c r="X41" s="121"/>
      <c r="Y41" s="121"/>
      <c r="Z41" s="121"/>
      <c r="AA41" s="121"/>
      <c r="AB41" s="121"/>
    </row>
    <row r="42" spans="1:28" ht="15.75">
      <c r="A42" s="666" t="s">
        <v>36</v>
      </c>
      <c r="B42" s="666"/>
      <c r="C42" s="666"/>
      <c r="D42" s="666"/>
      <c r="E42" s="666"/>
      <c r="F42" s="666"/>
      <c r="G42" s="131">
        <v>212</v>
      </c>
      <c r="H42" s="132">
        <v>61167</v>
      </c>
      <c r="I42" s="133"/>
      <c r="J42" s="386"/>
      <c r="K42" s="134">
        <v>0</v>
      </c>
      <c r="L42" s="135"/>
      <c r="M42" s="133"/>
      <c r="N42" s="386"/>
      <c r="O42" s="136"/>
      <c r="P42" s="133">
        <f t="shared" si="3"/>
        <v>61167</v>
      </c>
      <c r="Q42" s="133">
        <v>61167</v>
      </c>
      <c r="R42" s="133"/>
      <c r="S42" s="133"/>
      <c r="T42" s="133"/>
      <c r="U42" s="133"/>
      <c r="V42" s="133"/>
      <c r="W42" s="133">
        <f t="shared" si="7"/>
        <v>61167</v>
      </c>
      <c r="X42" s="121"/>
      <c r="Y42" s="121"/>
      <c r="Z42" s="121"/>
      <c r="AA42" s="121"/>
      <c r="AB42" s="121"/>
    </row>
    <row r="43" spans="1:28" ht="15.75">
      <c r="A43" s="656" t="s">
        <v>38</v>
      </c>
      <c r="B43" s="656"/>
      <c r="C43" s="656"/>
      <c r="D43" s="656"/>
      <c r="E43" s="656"/>
      <c r="F43" s="656"/>
      <c r="G43" s="131">
        <v>213</v>
      </c>
      <c r="H43" s="132">
        <f>485367+42+205</f>
        <v>485614</v>
      </c>
      <c r="I43" s="133">
        <v>615347</v>
      </c>
      <c r="J43" s="386"/>
      <c r="K43" s="134">
        <v>0</v>
      </c>
      <c r="L43" s="135"/>
      <c r="M43" s="163">
        <f>L14</f>
        <v>-268603</v>
      </c>
      <c r="N43" s="401"/>
      <c r="O43" s="136"/>
      <c r="P43" s="133">
        <f t="shared" si="3"/>
        <v>832358</v>
      </c>
      <c r="Q43" s="133">
        <f>304625+123+81</f>
        <v>304829</v>
      </c>
      <c r="R43" s="133">
        <v>764647</v>
      </c>
      <c r="S43" s="133">
        <v>4992</v>
      </c>
      <c r="T43" s="133"/>
      <c r="U43" s="133">
        <v>-409988</v>
      </c>
      <c r="V43" s="133">
        <v>-665</v>
      </c>
      <c r="W43" s="133">
        <f t="shared" si="7"/>
        <v>663815</v>
      </c>
      <c r="X43" s="121"/>
      <c r="Y43" s="121"/>
      <c r="Z43" s="121"/>
      <c r="AA43" s="121"/>
      <c r="AB43" s="121"/>
    </row>
    <row r="44" spans="1:28" ht="15.75">
      <c r="A44" s="643" t="s">
        <v>662</v>
      </c>
      <c r="B44" s="644"/>
      <c r="C44" s="644"/>
      <c r="D44" s="644"/>
      <c r="E44" s="644"/>
      <c r="F44" s="645"/>
      <c r="G44" s="131">
        <v>214</v>
      </c>
      <c r="H44" s="132">
        <v>249</v>
      </c>
      <c r="I44" s="133">
        <v>29076</v>
      </c>
      <c r="J44" s="386"/>
      <c r="K44" s="134">
        <v>0</v>
      </c>
      <c r="L44" s="135"/>
      <c r="M44" s="133"/>
      <c r="N44" s="386"/>
      <c r="O44" s="136"/>
      <c r="P44" s="133">
        <f t="shared" si="3"/>
        <v>29325</v>
      </c>
      <c r="Q44" s="133">
        <v>89</v>
      </c>
      <c r="R44" s="133">
        <v>22235</v>
      </c>
      <c r="S44" s="133">
        <v>19620</v>
      </c>
      <c r="T44" s="133"/>
      <c r="U44" s="133"/>
      <c r="V44" s="133">
        <f>-19362-258</f>
        <v>-19620</v>
      </c>
      <c r="W44" s="133">
        <f t="shared" si="7"/>
        <v>22324</v>
      </c>
      <c r="X44" s="121"/>
      <c r="Y44" s="121"/>
      <c r="Z44" s="121"/>
      <c r="AA44" s="121"/>
      <c r="AB44" s="121"/>
    </row>
    <row r="45" spans="1:28" ht="15.75">
      <c r="A45" s="666" t="s">
        <v>39</v>
      </c>
      <c r="B45" s="666"/>
      <c r="C45" s="666"/>
      <c r="D45" s="666"/>
      <c r="E45" s="666"/>
      <c r="F45" s="666"/>
      <c r="G45" s="131">
        <v>215</v>
      </c>
      <c r="H45" s="132">
        <v>56082</v>
      </c>
      <c r="I45" s="133">
        <v>0</v>
      </c>
      <c r="J45" s="386"/>
      <c r="K45" s="134">
        <v>0</v>
      </c>
      <c r="L45" s="135"/>
      <c r="M45" s="133"/>
      <c r="N45" s="386"/>
      <c r="O45" s="136"/>
      <c r="P45" s="133">
        <f t="shared" si="3"/>
        <v>56082</v>
      </c>
      <c r="Q45" s="133">
        <v>65008</v>
      </c>
      <c r="R45" s="133">
        <v>0</v>
      </c>
      <c r="S45" s="133"/>
      <c r="T45" s="133"/>
      <c r="U45" s="133"/>
      <c r="V45" s="133"/>
      <c r="W45" s="133">
        <f t="shared" si="7"/>
        <v>65008</v>
      </c>
      <c r="X45" s="121"/>
      <c r="Y45" s="121"/>
      <c r="Z45" s="121"/>
      <c r="AA45" s="121"/>
      <c r="AB45" s="121"/>
    </row>
    <row r="46" spans="1:28" ht="15.75">
      <c r="A46" s="666" t="s">
        <v>40</v>
      </c>
      <c r="B46" s="666"/>
      <c r="C46" s="666"/>
      <c r="D46" s="666"/>
      <c r="E46" s="666"/>
      <c r="F46" s="666"/>
      <c r="G46" s="131">
        <v>216</v>
      </c>
      <c r="H46" s="132">
        <v>0</v>
      </c>
      <c r="I46" s="133">
        <v>0</v>
      </c>
      <c r="J46" s="386"/>
      <c r="K46" s="134">
        <v>0</v>
      </c>
      <c r="L46" s="135"/>
      <c r="M46" s="133"/>
      <c r="N46" s="386"/>
      <c r="O46" s="136"/>
      <c r="P46" s="133">
        <f t="shared" si="3"/>
        <v>0</v>
      </c>
      <c r="Q46" s="133">
        <v>10793</v>
      </c>
      <c r="R46" s="133">
        <v>0</v>
      </c>
      <c r="S46" s="133">
        <v>3</v>
      </c>
      <c r="T46" s="133"/>
      <c r="U46" s="133"/>
      <c r="V46" s="133"/>
      <c r="W46" s="133">
        <f>SUM(Q46:V46)</f>
        <v>10796</v>
      </c>
      <c r="X46" s="121"/>
      <c r="Y46" s="121"/>
      <c r="Z46" s="121"/>
      <c r="AA46" s="121"/>
      <c r="AB46" s="121"/>
    </row>
    <row r="47" spans="1:28" ht="15.75">
      <c r="A47" s="666" t="s">
        <v>41</v>
      </c>
      <c r="B47" s="666"/>
      <c r="C47" s="666"/>
      <c r="D47" s="666"/>
      <c r="E47" s="666"/>
      <c r="F47" s="666"/>
      <c r="G47" s="131">
        <v>217</v>
      </c>
      <c r="H47" s="132">
        <v>32060</v>
      </c>
      <c r="I47" s="133">
        <v>15313</v>
      </c>
      <c r="J47" s="386"/>
      <c r="K47" s="134">
        <v>0</v>
      </c>
      <c r="L47" s="135"/>
      <c r="M47" s="133"/>
      <c r="N47" s="386"/>
      <c r="O47" s="136"/>
      <c r="P47" s="133">
        <f t="shared" si="3"/>
        <v>47373</v>
      </c>
      <c r="Q47" s="133">
        <v>36000</v>
      </c>
      <c r="R47" s="133">
        <v>21156</v>
      </c>
      <c r="S47" s="133"/>
      <c r="T47" s="133"/>
      <c r="U47" s="133"/>
      <c r="V47" s="133"/>
      <c r="W47" s="133">
        <f t="shared" si="7"/>
        <v>57156</v>
      </c>
      <c r="X47" s="121"/>
      <c r="Y47" s="121"/>
      <c r="Z47" s="121"/>
      <c r="AA47" s="121"/>
      <c r="AB47" s="121"/>
    </row>
    <row r="48" spans="1:28" ht="15.75">
      <c r="A48" s="666" t="s">
        <v>42</v>
      </c>
      <c r="B48" s="666"/>
      <c r="C48" s="666"/>
      <c r="D48" s="666"/>
      <c r="E48" s="666"/>
      <c r="F48" s="666"/>
      <c r="G48" s="131">
        <v>218</v>
      </c>
      <c r="H48" s="132">
        <f>6411+2207+4979+3218+7902+3</f>
        <v>24720</v>
      </c>
      <c r="I48" s="133">
        <f>51445+5086+42651+16607-I47</f>
        <v>100476</v>
      </c>
      <c r="J48" s="386"/>
      <c r="K48" s="134">
        <v>0</v>
      </c>
      <c r="L48" s="135"/>
      <c r="M48" s="133"/>
      <c r="N48" s="386"/>
      <c r="O48" s="136"/>
      <c r="P48" s="133">
        <f t="shared" si="3"/>
        <v>125196</v>
      </c>
      <c r="Q48" s="133">
        <f>6393+10437+4659+20+1108+3223+7790+2</f>
        <v>33632</v>
      </c>
      <c r="R48" s="133">
        <f>23957+6355+41722+24843-R47</f>
        <v>75721</v>
      </c>
      <c r="S48" s="133">
        <f>720+223</f>
        <v>943</v>
      </c>
      <c r="T48" s="133"/>
      <c r="U48" s="133"/>
      <c r="V48" s="133"/>
      <c r="W48" s="133">
        <f t="shared" si="7"/>
        <v>110296</v>
      </c>
      <c r="X48" s="121"/>
      <c r="Y48" s="121"/>
      <c r="Z48" s="121"/>
      <c r="AA48" s="121"/>
      <c r="AB48" s="121"/>
    </row>
    <row r="49" spans="1:28" ht="15.75">
      <c r="A49" s="653" t="s">
        <v>43</v>
      </c>
      <c r="B49" s="654"/>
      <c r="C49" s="654"/>
      <c r="D49" s="654"/>
      <c r="E49" s="654"/>
      <c r="F49" s="655"/>
      <c r="G49" s="142" t="s">
        <v>44</v>
      </c>
      <c r="H49" s="148">
        <f>SUM(H40:H48)</f>
        <v>778892</v>
      </c>
      <c r="I49" s="148">
        <f>SUM(I40:I48)</f>
        <v>997949</v>
      </c>
      <c r="J49" s="148"/>
      <c r="K49" s="148">
        <f>SUM(K40:K48)</f>
        <v>0</v>
      </c>
      <c r="L49" s="148">
        <f>SUM(L40:L48)</f>
        <v>0</v>
      </c>
      <c r="M49" s="163">
        <f>SUM(M40:M48)</f>
        <v>-268603</v>
      </c>
      <c r="N49" s="402"/>
      <c r="O49" s="149"/>
      <c r="P49" s="144">
        <f t="shared" si="3"/>
        <v>1508238</v>
      </c>
      <c r="Q49" s="144">
        <f aca="true" t="shared" si="8" ref="Q49:W49">SUM(Q40:Q48)</f>
        <v>731518</v>
      </c>
      <c r="R49" s="144">
        <f t="shared" si="8"/>
        <v>1174041</v>
      </c>
      <c r="S49" s="144">
        <f t="shared" si="8"/>
        <v>25558</v>
      </c>
      <c r="T49" s="144">
        <f t="shared" si="8"/>
        <v>0</v>
      </c>
      <c r="U49" s="144">
        <f t="shared" si="8"/>
        <v>-409988</v>
      </c>
      <c r="V49" s="144">
        <f t="shared" si="8"/>
        <v>-20285</v>
      </c>
      <c r="W49" s="150">
        <f t="shared" si="8"/>
        <v>1500844</v>
      </c>
      <c r="X49" s="121"/>
      <c r="Y49" s="121"/>
      <c r="Z49" s="121"/>
      <c r="AA49" s="121"/>
      <c r="AB49" s="121"/>
    </row>
    <row r="50" spans="1:28" ht="30" customHeight="1">
      <c r="A50" s="668" t="s">
        <v>45</v>
      </c>
      <c r="B50" s="669"/>
      <c r="C50" s="669"/>
      <c r="D50" s="669"/>
      <c r="E50" s="669"/>
      <c r="F50" s="670"/>
      <c r="G50" s="142"/>
      <c r="H50" s="148"/>
      <c r="I50" s="150"/>
      <c r="J50" s="392"/>
      <c r="K50" s="151"/>
      <c r="L50" s="152"/>
      <c r="M50" s="150"/>
      <c r="N50" s="392"/>
      <c r="O50" s="153"/>
      <c r="P50" s="133">
        <f t="shared" si="3"/>
        <v>0</v>
      </c>
      <c r="Q50" s="133"/>
      <c r="R50" s="133"/>
      <c r="S50" s="133"/>
      <c r="T50" s="133"/>
      <c r="U50" s="133"/>
      <c r="V50" s="133"/>
      <c r="W50" s="150"/>
      <c r="X50" s="121"/>
      <c r="Y50" s="121"/>
      <c r="Z50" s="121"/>
      <c r="AA50" s="121"/>
      <c r="AB50" s="121"/>
    </row>
    <row r="51" spans="1:28" ht="15.75">
      <c r="A51" s="653" t="s">
        <v>46</v>
      </c>
      <c r="B51" s="654"/>
      <c r="C51" s="654"/>
      <c r="D51" s="654"/>
      <c r="E51" s="654"/>
      <c r="F51" s="655"/>
      <c r="G51" s="154"/>
      <c r="H51" s="155"/>
      <c r="I51" s="156"/>
      <c r="J51" s="393"/>
      <c r="K51" s="157"/>
      <c r="L51" s="158"/>
      <c r="M51" s="156"/>
      <c r="N51" s="393"/>
      <c r="O51" s="159"/>
      <c r="P51" s="133">
        <f t="shared" si="3"/>
        <v>0</v>
      </c>
      <c r="Q51" s="133"/>
      <c r="R51" s="133"/>
      <c r="S51" s="133"/>
      <c r="T51" s="133"/>
      <c r="U51" s="133"/>
      <c r="V51" s="133"/>
      <c r="W51" s="156"/>
      <c r="X51" s="121"/>
      <c r="Y51" s="121"/>
      <c r="Z51" s="121"/>
      <c r="AA51" s="121"/>
      <c r="AB51" s="121"/>
    </row>
    <row r="52" spans="1:28" ht="15.75">
      <c r="A52" s="666" t="s">
        <v>35</v>
      </c>
      <c r="B52" s="666"/>
      <c r="C52" s="666"/>
      <c r="D52" s="666"/>
      <c r="E52" s="666"/>
      <c r="F52" s="666"/>
      <c r="G52" s="131">
        <v>310</v>
      </c>
      <c r="H52" s="132"/>
      <c r="I52" s="133"/>
      <c r="J52" s="386"/>
      <c r="K52" s="134"/>
      <c r="L52" s="135">
        <v>0</v>
      </c>
      <c r="M52" s="133"/>
      <c r="N52" s="386"/>
      <c r="O52" s="136"/>
      <c r="P52" s="133">
        <f t="shared" si="3"/>
        <v>0</v>
      </c>
      <c r="Q52" s="133"/>
      <c r="R52" s="133"/>
      <c r="S52" s="133"/>
      <c r="T52" s="133"/>
      <c r="U52" s="133"/>
      <c r="V52" s="133"/>
      <c r="W52" s="133">
        <f aca="true" t="shared" si="9" ref="W52:W58">SUM(Q52:V52)</f>
        <v>0</v>
      </c>
      <c r="X52" s="121"/>
      <c r="Y52" s="121"/>
      <c r="Z52" s="121"/>
      <c r="AA52" s="121"/>
      <c r="AB52" s="121"/>
    </row>
    <row r="53" spans="1:28" ht="15.75">
      <c r="A53" s="646" t="s">
        <v>11</v>
      </c>
      <c r="B53" s="646"/>
      <c r="C53" s="646"/>
      <c r="D53" s="646"/>
      <c r="E53" s="646"/>
      <c r="F53" s="646"/>
      <c r="G53" s="131">
        <v>311</v>
      </c>
      <c r="H53" s="132"/>
      <c r="I53" s="133"/>
      <c r="J53" s="386"/>
      <c r="K53" s="134"/>
      <c r="L53" s="135"/>
      <c r="M53" s="133"/>
      <c r="N53" s="386"/>
      <c r="O53" s="136"/>
      <c r="P53" s="133">
        <f t="shared" si="3"/>
        <v>0</v>
      </c>
      <c r="Q53" s="133"/>
      <c r="R53" s="133"/>
      <c r="S53" s="133"/>
      <c r="T53" s="133"/>
      <c r="U53" s="133"/>
      <c r="V53" s="133"/>
      <c r="W53" s="133">
        <f t="shared" si="9"/>
        <v>0</v>
      </c>
      <c r="X53" s="121"/>
      <c r="Y53" s="121"/>
      <c r="Z53" s="121"/>
      <c r="AA53" s="121"/>
      <c r="AB53" s="121"/>
    </row>
    <row r="54" spans="1:28" ht="15.75">
      <c r="A54" s="671" t="s">
        <v>47</v>
      </c>
      <c r="B54" s="671"/>
      <c r="C54" s="671"/>
      <c r="D54" s="671"/>
      <c r="E54" s="671"/>
      <c r="F54" s="671"/>
      <c r="G54" s="131">
        <v>312</v>
      </c>
      <c r="H54" s="132">
        <v>1442583</v>
      </c>
      <c r="I54" s="133"/>
      <c r="J54" s="386"/>
      <c r="K54" s="134"/>
      <c r="L54" s="135"/>
      <c r="M54" s="133"/>
      <c r="N54" s="386"/>
      <c r="O54" s="136"/>
      <c r="P54" s="133">
        <f t="shared" si="3"/>
        <v>1442583</v>
      </c>
      <c r="Q54" s="133">
        <v>1436107</v>
      </c>
      <c r="R54" s="133"/>
      <c r="S54" s="133"/>
      <c r="T54" s="133"/>
      <c r="U54" s="133"/>
      <c r="V54" s="133"/>
      <c r="W54" s="133">
        <f t="shared" si="9"/>
        <v>1436107</v>
      </c>
      <c r="X54" s="121"/>
      <c r="Y54" s="121"/>
      <c r="Z54" s="121"/>
      <c r="AA54" s="121"/>
      <c r="AB54" s="121"/>
    </row>
    <row r="55" spans="1:28" ht="15.75">
      <c r="A55" s="656" t="s">
        <v>48</v>
      </c>
      <c r="B55" s="656"/>
      <c r="C55" s="656"/>
      <c r="D55" s="656"/>
      <c r="E55" s="656"/>
      <c r="F55" s="656"/>
      <c r="G55" s="131">
        <v>313</v>
      </c>
      <c r="H55" s="132"/>
      <c r="I55" s="133"/>
      <c r="J55" s="386"/>
      <c r="K55" s="134"/>
      <c r="L55" s="135"/>
      <c r="M55" s="133"/>
      <c r="N55" s="386"/>
      <c r="O55" s="136"/>
      <c r="P55" s="133">
        <f t="shared" si="3"/>
        <v>0</v>
      </c>
      <c r="Q55" s="133"/>
      <c r="R55" s="133"/>
      <c r="S55" s="133"/>
      <c r="T55" s="133"/>
      <c r="U55" s="133"/>
      <c r="V55" s="133"/>
      <c r="W55" s="133">
        <f t="shared" si="9"/>
        <v>0</v>
      </c>
      <c r="X55" s="121"/>
      <c r="Y55" s="121"/>
      <c r="Z55" s="121"/>
      <c r="AA55" s="121"/>
      <c r="AB55" s="121"/>
    </row>
    <row r="56" spans="1:28" ht="15.75">
      <c r="A56" s="666" t="s">
        <v>49</v>
      </c>
      <c r="B56" s="666"/>
      <c r="C56" s="666"/>
      <c r="D56" s="666"/>
      <c r="E56" s="666"/>
      <c r="F56" s="666"/>
      <c r="G56" s="131">
        <v>314</v>
      </c>
      <c r="H56" s="132"/>
      <c r="I56" s="133"/>
      <c r="J56" s="386"/>
      <c r="K56" s="134"/>
      <c r="L56" s="135"/>
      <c r="M56" s="133"/>
      <c r="N56" s="386"/>
      <c r="O56" s="136"/>
      <c r="P56" s="133">
        <f t="shared" si="3"/>
        <v>0</v>
      </c>
      <c r="Q56" s="133"/>
      <c r="R56" s="133"/>
      <c r="S56" s="133"/>
      <c r="T56" s="133"/>
      <c r="U56" s="133"/>
      <c r="V56" s="133"/>
      <c r="W56" s="133">
        <f t="shared" si="9"/>
        <v>0</v>
      </c>
      <c r="X56" s="121"/>
      <c r="Y56" s="121"/>
      <c r="Z56" s="121"/>
      <c r="AA56" s="121"/>
      <c r="AB56" s="121"/>
    </row>
    <row r="57" spans="1:28" ht="15.75">
      <c r="A57" s="666" t="s">
        <v>50</v>
      </c>
      <c r="B57" s="666"/>
      <c r="C57" s="666"/>
      <c r="D57" s="666"/>
      <c r="E57" s="666"/>
      <c r="F57" s="666"/>
      <c r="G57" s="131">
        <v>315</v>
      </c>
      <c r="H57" s="132">
        <v>229654</v>
      </c>
      <c r="I57" s="133"/>
      <c r="J57" s="386"/>
      <c r="K57" s="134"/>
      <c r="L57" s="135"/>
      <c r="M57" s="133"/>
      <c r="N57" s="386"/>
      <c r="O57" s="136"/>
      <c r="P57" s="133">
        <f t="shared" si="3"/>
        <v>229654</v>
      </c>
      <c r="Q57" s="133">
        <v>229654</v>
      </c>
      <c r="R57" s="133"/>
      <c r="S57" s="133"/>
      <c r="T57" s="133"/>
      <c r="U57" s="133"/>
      <c r="V57" s="133"/>
      <c r="W57" s="133">
        <f t="shared" si="9"/>
        <v>229654</v>
      </c>
      <c r="X57" s="121"/>
      <c r="Y57" s="121"/>
      <c r="Z57" s="121"/>
      <c r="AA57" s="121"/>
      <c r="AB57" s="121"/>
    </row>
    <row r="58" spans="1:28" ht="15.75">
      <c r="A58" s="666" t="s">
        <v>51</v>
      </c>
      <c r="B58" s="666"/>
      <c r="C58" s="666"/>
      <c r="D58" s="666"/>
      <c r="E58" s="666"/>
      <c r="F58" s="666"/>
      <c r="G58" s="131">
        <v>316</v>
      </c>
      <c r="H58" s="132">
        <v>0</v>
      </c>
      <c r="I58" s="133"/>
      <c r="J58" s="386"/>
      <c r="K58" s="134"/>
      <c r="L58" s="135"/>
      <c r="M58" s="133"/>
      <c r="N58" s="386"/>
      <c r="O58" s="136"/>
      <c r="P58" s="133">
        <f t="shared" si="3"/>
        <v>0</v>
      </c>
      <c r="Q58" s="133"/>
      <c r="R58" s="133"/>
      <c r="S58" s="133"/>
      <c r="T58" s="133"/>
      <c r="U58" s="133"/>
      <c r="V58" s="133"/>
      <c r="W58" s="133">
        <f t="shared" si="9"/>
        <v>0</v>
      </c>
      <c r="X58" s="121"/>
      <c r="Y58" s="121"/>
      <c r="Z58" s="121"/>
      <c r="AA58" s="121"/>
      <c r="AB58" s="121"/>
    </row>
    <row r="59" spans="1:28" ht="15.75">
      <c r="A59" s="653" t="s">
        <v>52</v>
      </c>
      <c r="B59" s="654"/>
      <c r="C59" s="654"/>
      <c r="D59" s="654"/>
      <c r="E59" s="654"/>
      <c r="F59" s="655"/>
      <c r="G59" s="142" t="s">
        <v>53</v>
      </c>
      <c r="H59" s="148">
        <f>SUM(H50:H58)</f>
        <v>1672237</v>
      </c>
      <c r="I59" s="148">
        <f>SUM(I50:I58)</f>
        <v>0</v>
      </c>
      <c r="J59" s="148"/>
      <c r="K59" s="148">
        <f>SUM(K50:K58)</f>
        <v>0</v>
      </c>
      <c r="L59" s="148">
        <f>SUM(L50:L58)</f>
        <v>0</v>
      </c>
      <c r="M59" s="148">
        <f>SUM(M50:M58)</f>
        <v>0</v>
      </c>
      <c r="N59" s="403"/>
      <c r="O59" s="149"/>
      <c r="P59" s="144">
        <f t="shared" si="3"/>
        <v>1672237</v>
      </c>
      <c r="Q59" s="144">
        <f aca="true" t="shared" si="10" ref="Q59:V59">SUM(Q52:Q58)</f>
        <v>1665761</v>
      </c>
      <c r="R59" s="144">
        <f t="shared" si="10"/>
        <v>0</v>
      </c>
      <c r="S59" s="144">
        <f t="shared" si="10"/>
        <v>0</v>
      </c>
      <c r="T59" s="144">
        <f t="shared" si="10"/>
        <v>0</v>
      </c>
      <c r="U59" s="144">
        <f t="shared" si="10"/>
        <v>0</v>
      </c>
      <c r="V59" s="144">
        <f t="shared" si="10"/>
        <v>0</v>
      </c>
      <c r="W59" s="144">
        <f>SUM(W52:W57)</f>
        <v>1665761</v>
      </c>
      <c r="X59" s="121"/>
      <c r="Y59" s="121"/>
      <c r="Z59" s="121"/>
      <c r="AA59" s="121"/>
      <c r="AB59" s="121"/>
    </row>
    <row r="60" spans="1:28" ht="44.25" customHeight="1">
      <c r="A60" s="650" t="s">
        <v>2</v>
      </c>
      <c r="B60" s="651"/>
      <c r="C60" s="651"/>
      <c r="D60" s="651"/>
      <c r="E60" s="651"/>
      <c r="F60" s="652"/>
      <c r="G60" s="486" t="s">
        <v>3</v>
      </c>
      <c r="H60" s="498"/>
      <c r="I60" s="486"/>
      <c r="J60" s="486"/>
      <c r="K60" s="491"/>
      <c r="L60" s="499"/>
      <c r="M60" s="468"/>
      <c r="N60" s="486"/>
      <c r="O60" s="486"/>
      <c r="P60" s="488" t="s">
        <v>653</v>
      </c>
      <c r="Q60" s="488"/>
      <c r="R60" s="488"/>
      <c r="S60" s="488"/>
      <c r="T60" s="488"/>
      <c r="U60" s="488"/>
      <c r="V60" s="488"/>
      <c r="W60" s="488" t="s">
        <v>176</v>
      </c>
      <c r="X60" s="121"/>
      <c r="Y60" s="121"/>
      <c r="Z60" s="121"/>
      <c r="AA60" s="121"/>
      <c r="AB60" s="121"/>
    </row>
    <row r="61" spans="1:28" ht="15.75">
      <c r="A61" s="650" t="s">
        <v>33</v>
      </c>
      <c r="B61" s="651"/>
      <c r="C61" s="651"/>
      <c r="D61" s="651"/>
      <c r="E61" s="651"/>
      <c r="F61" s="652"/>
      <c r="G61" s="486"/>
      <c r="H61" s="498"/>
      <c r="I61" s="486"/>
      <c r="J61" s="486"/>
      <c r="K61" s="491"/>
      <c r="L61" s="489"/>
      <c r="M61" s="488"/>
      <c r="N61" s="490"/>
      <c r="O61" s="490"/>
      <c r="P61" s="496">
        <f aca="true" t="shared" si="11" ref="P61:P68">SUM(H61:O61)</f>
        <v>0</v>
      </c>
      <c r="Q61" s="496"/>
      <c r="R61" s="496"/>
      <c r="S61" s="496"/>
      <c r="T61" s="496"/>
      <c r="U61" s="496"/>
      <c r="V61" s="496"/>
      <c r="W61" s="488"/>
      <c r="X61" s="121"/>
      <c r="Y61" s="121"/>
      <c r="Z61" s="121"/>
      <c r="AA61" s="121"/>
      <c r="AB61" s="121"/>
    </row>
    <row r="62" spans="1:28" ht="15.75">
      <c r="A62" s="653" t="s">
        <v>54</v>
      </c>
      <c r="B62" s="654"/>
      <c r="C62" s="654"/>
      <c r="D62" s="654"/>
      <c r="E62" s="654"/>
      <c r="F62" s="655"/>
      <c r="G62" s="347"/>
      <c r="H62" s="160"/>
      <c r="I62" s="161"/>
      <c r="J62" s="161"/>
      <c r="K62" s="162"/>
      <c r="L62" s="127"/>
      <c r="M62" s="116"/>
      <c r="N62" s="405"/>
      <c r="O62" s="162"/>
      <c r="P62" s="133">
        <f t="shared" si="11"/>
        <v>0</v>
      </c>
      <c r="Q62" s="133"/>
      <c r="R62" s="133"/>
      <c r="S62" s="133"/>
      <c r="T62" s="133"/>
      <c r="U62" s="133"/>
      <c r="V62" s="133"/>
      <c r="W62" s="127"/>
      <c r="X62" s="121"/>
      <c r="Y62" s="121"/>
      <c r="Z62" s="121"/>
      <c r="AA62" s="121"/>
      <c r="AB62" s="121"/>
    </row>
    <row r="63" spans="1:28" ht="15.75">
      <c r="A63" s="666" t="s">
        <v>55</v>
      </c>
      <c r="B63" s="666"/>
      <c r="C63" s="666"/>
      <c r="D63" s="666"/>
      <c r="E63" s="666"/>
      <c r="F63" s="666"/>
      <c r="G63" s="131">
        <v>410</v>
      </c>
      <c r="H63" s="132">
        <v>1146250</v>
      </c>
      <c r="I63" s="133">
        <v>95084</v>
      </c>
      <c r="J63" s="386">
        <v>1000</v>
      </c>
      <c r="K63" s="134"/>
      <c r="L63" s="135"/>
      <c r="M63" s="163">
        <v>-95084</v>
      </c>
      <c r="N63" s="401">
        <v>-1000</v>
      </c>
      <c r="O63" s="136"/>
      <c r="P63" s="133">
        <f t="shared" si="11"/>
        <v>1146250</v>
      </c>
      <c r="Q63" s="133">
        <v>1146250</v>
      </c>
      <c r="R63" s="133">
        <f>159069-63985</f>
        <v>95084</v>
      </c>
      <c r="S63" s="133"/>
      <c r="T63" s="133"/>
      <c r="U63" s="133">
        <v>-95084</v>
      </c>
      <c r="V63" s="133"/>
      <c r="W63" s="133">
        <f aca="true" t="shared" si="12" ref="W63:W68">SUM(Q63:V63)</f>
        <v>1146250</v>
      </c>
      <c r="X63" s="121"/>
      <c r="Y63" s="121"/>
      <c r="Z63" s="121"/>
      <c r="AA63" s="121"/>
      <c r="AB63" s="121"/>
    </row>
    <row r="64" spans="1:28" ht="15.75">
      <c r="A64" s="666" t="s">
        <v>56</v>
      </c>
      <c r="B64" s="666"/>
      <c r="C64" s="666"/>
      <c r="D64" s="666"/>
      <c r="E64" s="666"/>
      <c r="F64" s="666"/>
      <c r="G64" s="131">
        <v>411</v>
      </c>
      <c r="H64" s="132"/>
      <c r="I64" s="133"/>
      <c r="J64" s="386"/>
      <c r="K64" s="134"/>
      <c r="L64" s="135"/>
      <c r="M64" s="116"/>
      <c r="N64" s="404"/>
      <c r="O64" s="136"/>
      <c r="P64" s="133">
        <f t="shared" si="11"/>
        <v>0</v>
      </c>
      <c r="Q64" s="133"/>
      <c r="R64" s="133"/>
      <c r="S64" s="133"/>
      <c r="T64" s="133"/>
      <c r="U64" s="133"/>
      <c r="V64" s="133"/>
      <c r="W64" s="133">
        <f t="shared" si="12"/>
        <v>0</v>
      </c>
      <c r="X64" s="121"/>
      <c r="Y64" s="121"/>
      <c r="Z64" s="121"/>
      <c r="AA64" s="121"/>
      <c r="AB64" s="121"/>
    </row>
    <row r="65" spans="1:28" ht="15.75">
      <c r="A65" s="666" t="s">
        <v>57</v>
      </c>
      <c r="B65" s="666"/>
      <c r="C65" s="666"/>
      <c r="D65" s="666"/>
      <c r="E65" s="666"/>
      <c r="F65" s="666"/>
      <c r="G65" s="131">
        <v>412</v>
      </c>
      <c r="H65" s="132"/>
      <c r="I65" s="133"/>
      <c r="J65" s="386"/>
      <c r="K65" s="134"/>
      <c r="L65" s="135"/>
      <c r="M65" s="116"/>
      <c r="N65" s="404"/>
      <c r="O65" s="136"/>
      <c r="P65" s="133">
        <f t="shared" si="11"/>
        <v>0</v>
      </c>
      <c r="Q65" s="133"/>
      <c r="R65" s="133"/>
      <c r="S65" s="133"/>
      <c r="T65" s="133"/>
      <c r="U65" s="133"/>
      <c r="V65" s="133"/>
      <c r="W65" s="133">
        <f t="shared" si="12"/>
        <v>0</v>
      </c>
      <c r="X65" s="121"/>
      <c r="Y65" s="121"/>
      <c r="Z65" s="121"/>
      <c r="AA65" s="121"/>
      <c r="AB65" s="121"/>
    </row>
    <row r="66" spans="1:28" ht="15.75">
      <c r="A66" s="643" t="s">
        <v>58</v>
      </c>
      <c r="B66" s="644"/>
      <c r="C66" s="644"/>
      <c r="D66" s="644"/>
      <c r="E66" s="644"/>
      <c r="F66" s="645"/>
      <c r="G66" s="131">
        <v>413</v>
      </c>
      <c r="H66" s="163"/>
      <c r="I66" s="133"/>
      <c r="J66" s="386"/>
      <c r="K66" s="134"/>
      <c r="L66" s="135"/>
      <c r="M66" s="116"/>
      <c r="N66" s="404"/>
      <c r="O66" s="136"/>
      <c r="P66" s="133">
        <f t="shared" si="11"/>
        <v>0</v>
      </c>
      <c r="Q66" s="133"/>
      <c r="R66" s="133"/>
      <c r="S66" s="133"/>
      <c r="T66" s="133"/>
      <c r="U66" s="133"/>
      <c r="V66" s="133"/>
      <c r="W66" s="168">
        <f t="shared" si="12"/>
        <v>0</v>
      </c>
      <c r="X66" s="121"/>
      <c r="Y66" s="121"/>
      <c r="Z66" s="121"/>
      <c r="AA66" s="121"/>
      <c r="AB66" s="121"/>
    </row>
    <row r="67" spans="1:28" ht="15.75">
      <c r="A67" s="666" t="s">
        <v>59</v>
      </c>
      <c r="B67" s="666"/>
      <c r="C67" s="666"/>
      <c r="D67" s="666"/>
      <c r="E67" s="666"/>
      <c r="F67" s="666"/>
      <c r="G67" s="131">
        <v>414</v>
      </c>
      <c r="H67" s="163">
        <v>-235546</v>
      </c>
      <c r="I67" s="133">
        <v>32351</v>
      </c>
      <c r="J67" s="386"/>
      <c r="K67" s="134"/>
      <c r="L67" s="135"/>
      <c r="M67" s="116"/>
      <c r="N67" s="404"/>
      <c r="O67" s="136"/>
      <c r="P67" s="345">
        <f t="shared" si="11"/>
        <v>-203195</v>
      </c>
      <c r="Q67" s="345">
        <v>-984063</v>
      </c>
      <c r="R67" s="345">
        <v>32351</v>
      </c>
      <c r="S67" s="345"/>
      <c r="T67" s="345"/>
      <c r="U67" s="345"/>
      <c r="V67" s="345"/>
      <c r="W67" s="345">
        <f t="shared" si="12"/>
        <v>-951712</v>
      </c>
      <c r="X67" s="238"/>
      <c r="Y67" s="121"/>
      <c r="Z67" s="121"/>
      <c r="AA67" s="121"/>
      <c r="AB67" s="121"/>
    </row>
    <row r="68" spans="1:28" ht="15.75">
      <c r="A68" s="673" t="s">
        <v>60</v>
      </c>
      <c r="B68" s="674"/>
      <c r="C68" s="674"/>
      <c r="D68" s="674"/>
      <c r="E68" s="674"/>
      <c r="F68" s="675"/>
      <c r="G68" s="131">
        <v>415</v>
      </c>
      <c r="H68" s="132">
        <v>2972332</v>
      </c>
      <c r="I68" s="163">
        <v>-106904</v>
      </c>
      <c r="J68" s="163"/>
      <c r="K68" s="164"/>
      <c r="L68" s="135"/>
      <c r="M68" s="116"/>
      <c r="N68" s="404"/>
      <c r="O68" s="136">
        <v>-1067</v>
      </c>
      <c r="P68" s="133">
        <f t="shared" si="11"/>
        <v>2864361</v>
      </c>
      <c r="Q68" s="133">
        <v>3148625</v>
      </c>
      <c r="R68" s="346">
        <v>-302434</v>
      </c>
      <c r="S68" s="133">
        <v>-1067</v>
      </c>
      <c r="T68" s="133"/>
      <c r="U68" s="133"/>
      <c r="V68" s="133"/>
      <c r="W68" s="133">
        <f t="shared" si="12"/>
        <v>2845124</v>
      </c>
      <c r="X68" s="238">
        <f>P68-W68</f>
        <v>19237</v>
      </c>
      <c r="Y68" s="238"/>
      <c r="Z68" s="121"/>
      <c r="AA68" s="121"/>
      <c r="AB68" s="121"/>
    </row>
    <row r="69" spans="1:28" ht="15.75">
      <c r="A69" s="643" t="s">
        <v>764</v>
      </c>
      <c r="B69" s="644"/>
      <c r="C69" s="644"/>
      <c r="D69" s="644"/>
      <c r="E69" s="644"/>
      <c r="F69" s="645"/>
      <c r="G69" s="131"/>
      <c r="H69" s="132"/>
      <c r="I69" s="163"/>
      <c r="J69" s="395">
        <v>-1000</v>
      </c>
      <c r="K69" s="396"/>
      <c r="L69" s="135"/>
      <c r="M69" s="163"/>
      <c r="N69" s="402">
        <v>1000</v>
      </c>
      <c r="O69" s="397"/>
      <c r="P69" s="133"/>
      <c r="Q69" s="398"/>
      <c r="R69" s="346"/>
      <c r="S69" s="398"/>
      <c r="T69" s="398"/>
      <c r="U69" s="398"/>
      <c r="V69" s="398"/>
      <c r="W69" s="133"/>
      <c r="X69" s="238"/>
      <c r="Y69" s="238"/>
      <c r="Z69" s="121"/>
      <c r="AA69" s="121"/>
      <c r="AB69" s="121"/>
    </row>
    <row r="70" spans="1:28" s="509" customFormat="1" ht="29.25" customHeight="1">
      <c r="A70" s="668" t="s">
        <v>61</v>
      </c>
      <c r="B70" s="669"/>
      <c r="C70" s="669"/>
      <c r="D70" s="669"/>
      <c r="E70" s="669"/>
      <c r="F70" s="670"/>
      <c r="G70" s="142">
        <v>420</v>
      </c>
      <c r="H70" s="505">
        <f>H63+H64+H65+H66+H67+H68</f>
        <v>3883036</v>
      </c>
      <c r="I70" s="116">
        <f>I63+I64+I65+I66+I67+I68</f>
        <v>20531</v>
      </c>
      <c r="J70" s="394"/>
      <c r="K70" s="506">
        <f>K63+K64+K65+K66+K67+K68</f>
        <v>0</v>
      </c>
      <c r="L70" s="506">
        <f>L63+L64+L65+L66+L67+L68</f>
        <v>0</v>
      </c>
      <c r="M70" s="116">
        <f>M63+M64+M65+M66+M67+M68</f>
        <v>-95084</v>
      </c>
      <c r="N70" s="406"/>
      <c r="O70" s="507"/>
      <c r="P70" s="167">
        <f>P63+P64+P65+P66+P67+P68</f>
        <v>3807416</v>
      </c>
      <c r="Q70" s="505">
        <f aca="true" t="shared" si="13" ref="Q70:V70">Q63+Q64+Q65+Q66+Q67+Q68</f>
        <v>3310812</v>
      </c>
      <c r="R70" s="116">
        <f t="shared" si="13"/>
        <v>-174999</v>
      </c>
      <c r="S70" s="505">
        <f t="shared" si="13"/>
        <v>-1067</v>
      </c>
      <c r="T70" s="505">
        <f t="shared" si="13"/>
        <v>0</v>
      </c>
      <c r="U70" s="505">
        <f t="shared" si="13"/>
        <v>-95084</v>
      </c>
      <c r="V70" s="505">
        <f t="shared" si="13"/>
        <v>0</v>
      </c>
      <c r="W70" s="144">
        <f>SUM(W63:W68)</f>
        <v>3039662</v>
      </c>
      <c r="X70" s="508"/>
      <c r="Y70" s="508"/>
      <c r="Z70" s="508"/>
      <c r="AA70" s="508"/>
      <c r="AB70" s="508"/>
    </row>
    <row r="71" spans="1:28" ht="15.75">
      <c r="A71" s="673" t="s">
        <v>62</v>
      </c>
      <c r="B71" s="674"/>
      <c r="C71" s="674"/>
      <c r="D71" s="674"/>
      <c r="E71" s="674"/>
      <c r="F71" s="675"/>
      <c r="G71" s="131">
        <v>421</v>
      </c>
      <c r="H71" s="132"/>
      <c r="I71" s="133"/>
      <c r="J71" s="386"/>
      <c r="K71" s="134"/>
      <c r="L71" s="135"/>
      <c r="M71" s="133"/>
      <c r="N71" s="386"/>
      <c r="O71" s="136"/>
      <c r="P71" s="133">
        <f>SUM(H71:O71)</f>
        <v>0</v>
      </c>
      <c r="Q71" s="133"/>
      <c r="R71" s="133"/>
      <c r="S71" s="133"/>
      <c r="T71" s="133"/>
      <c r="U71" s="133"/>
      <c r="V71" s="133"/>
      <c r="W71" s="133"/>
      <c r="X71" s="121"/>
      <c r="Y71" s="121"/>
      <c r="Z71" s="121"/>
      <c r="AA71" s="121"/>
      <c r="AB71" s="121"/>
    </row>
    <row r="72" spans="1:28" s="504" customFormat="1" ht="15.75">
      <c r="A72" s="653" t="s">
        <v>63</v>
      </c>
      <c r="B72" s="654"/>
      <c r="C72" s="654"/>
      <c r="D72" s="654"/>
      <c r="E72" s="654"/>
      <c r="F72" s="655"/>
      <c r="G72" s="142">
        <v>500</v>
      </c>
      <c r="H72" s="506">
        <f>H70</f>
        <v>3883036</v>
      </c>
      <c r="I72" s="506">
        <f>I70</f>
        <v>20531</v>
      </c>
      <c r="J72" s="506"/>
      <c r="K72" s="506">
        <f>K70</f>
        <v>0</v>
      </c>
      <c r="L72" s="506">
        <f>L70</f>
        <v>0</v>
      </c>
      <c r="M72" s="506">
        <f>M70</f>
        <v>-95084</v>
      </c>
      <c r="N72" s="510"/>
      <c r="O72" s="153"/>
      <c r="P72" s="144">
        <f>SUM(H72:O72)</f>
        <v>3808483</v>
      </c>
      <c r="Q72" s="144">
        <f aca="true" t="shared" si="14" ref="Q72:V72">Q70</f>
        <v>3310812</v>
      </c>
      <c r="R72" s="116">
        <f t="shared" si="14"/>
        <v>-174999</v>
      </c>
      <c r="S72" s="144">
        <f t="shared" si="14"/>
        <v>-1067</v>
      </c>
      <c r="T72" s="144">
        <f t="shared" si="14"/>
        <v>0</v>
      </c>
      <c r="U72" s="144">
        <f t="shared" si="14"/>
        <v>-95084</v>
      </c>
      <c r="V72" s="144">
        <f t="shared" si="14"/>
        <v>0</v>
      </c>
      <c r="W72" s="150">
        <f>W70</f>
        <v>3039662</v>
      </c>
      <c r="X72" s="503"/>
      <c r="Y72" s="503"/>
      <c r="Z72" s="503"/>
      <c r="AA72" s="503"/>
      <c r="AB72" s="503"/>
    </row>
    <row r="73" spans="1:28" ht="16.5" thickBot="1">
      <c r="A73" s="672" t="s">
        <v>32</v>
      </c>
      <c r="B73" s="672"/>
      <c r="C73" s="672"/>
      <c r="D73" s="672"/>
      <c r="E73" s="672"/>
      <c r="F73" s="672"/>
      <c r="G73" s="492"/>
      <c r="H73" s="500">
        <f>H49+H59+H72</f>
        <v>6334165</v>
      </c>
      <c r="I73" s="500">
        <f>I49+I59+I72</f>
        <v>1018480</v>
      </c>
      <c r="J73" s="500"/>
      <c r="K73" s="500">
        <f>K49+K59+K72</f>
        <v>0</v>
      </c>
      <c r="L73" s="500">
        <f>L49+L59+L72</f>
        <v>0</v>
      </c>
      <c r="M73" s="500">
        <f>M49+M59+M72</f>
        <v>-363687</v>
      </c>
      <c r="N73" s="501"/>
      <c r="O73" s="502"/>
      <c r="P73" s="481">
        <f>SUM(H73:O73)</f>
        <v>6988958</v>
      </c>
      <c r="Q73" s="481">
        <f aca="true" t="shared" si="15" ref="Q73:W73">Q49+Q59+Q72</f>
        <v>5708091</v>
      </c>
      <c r="R73" s="481">
        <f t="shared" si="15"/>
        <v>999042</v>
      </c>
      <c r="S73" s="481">
        <f t="shared" si="15"/>
        <v>24491</v>
      </c>
      <c r="T73" s="481">
        <f t="shared" si="15"/>
        <v>0</v>
      </c>
      <c r="U73" s="481">
        <f t="shared" si="15"/>
        <v>-505072</v>
      </c>
      <c r="V73" s="481">
        <f t="shared" si="15"/>
        <v>-20285</v>
      </c>
      <c r="W73" s="481">
        <f t="shared" si="15"/>
        <v>6206267</v>
      </c>
      <c r="X73" s="121"/>
      <c r="Y73" s="121"/>
      <c r="Z73" s="121"/>
      <c r="AA73" s="121"/>
      <c r="AB73" s="121"/>
    </row>
    <row r="74" spans="8:28" ht="15.75">
      <c r="H74" s="384">
        <f aca="true" t="shared" si="16" ref="H74:P74">H73-H37</f>
        <v>0</v>
      </c>
      <c r="I74" s="384">
        <f t="shared" si="16"/>
        <v>0</v>
      </c>
      <c r="J74" s="384"/>
      <c r="K74" s="384">
        <f t="shared" si="16"/>
        <v>0</v>
      </c>
      <c r="L74" s="384">
        <f t="shared" si="16"/>
        <v>363687</v>
      </c>
      <c r="M74" s="384">
        <f t="shared" si="16"/>
        <v>-363687</v>
      </c>
      <c r="N74" s="384"/>
      <c r="O74" s="384">
        <f t="shared" si="16"/>
        <v>0</v>
      </c>
      <c r="P74" s="384">
        <f t="shared" si="16"/>
        <v>0</v>
      </c>
      <c r="Q74" s="384">
        <f>Q73-Q37</f>
        <v>0</v>
      </c>
      <c r="R74" s="384">
        <f aca="true" t="shared" si="17" ref="R74:W74">R73-R37</f>
        <v>0</v>
      </c>
      <c r="S74" s="384">
        <f t="shared" si="17"/>
        <v>0</v>
      </c>
      <c r="T74" s="384">
        <f t="shared" si="17"/>
        <v>505072</v>
      </c>
      <c r="U74" s="384">
        <f t="shared" si="17"/>
        <v>-505072</v>
      </c>
      <c r="V74" s="384">
        <f t="shared" si="17"/>
        <v>0</v>
      </c>
      <c r="W74" s="384">
        <f t="shared" si="17"/>
        <v>0</v>
      </c>
      <c r="X74" s="121"/>
      <c r="Y74" s="121"/>
      <c r="Z74" s="121"/>
      <c r="AA74" s="121"/>
      <c r="AB74" s="121"/>
    </row>
    <row r="75" spans="2:28" ht="15.75">
      <c r="B75" s="120" t="s">
        <v>394</v>
      </c>
      <c r="I75" s="121"/>
      <c r="J75" s="121"/>
      <c r="P75" s="165"/>
      <c r="Q75" s="511">
        <f>Q68-H68</f>
        <v>176293</v>
      </c>
      <c r="R75" s="165"/>
      <c r="S75" s="165"/>
      <c r="T75" s="165"/>
      <c r="U75" s="165"/>
      <c r="V75" s="165"/>
      <c r="W75" s="165"/>
      <c r="X75" s="121"/>
      <c r="Y75" s="121"/>
      <c r="Z75" s="121"/>
      <c r="AA75" s="121"/>
      <c r="AB75" s="121"/>
    </row>
    <row r="76" spans="9:28" ht="15.75">
      <c r="I76" s="121"/>
      <c r="J76" s="121"/>
      <c r="X76" s="121"/>
      <c r="Y76" s="121"/>
      <c r="Z76" s="121"/>
      <c r="AA76" s="121"/>
      <c r="AB76" s="121"/>
    </row>
    <row r="77" spans="2:28" ht="15.75">
      <c r="B77" s="120" t="s">
        <v>395</v>
      </c>
      <c r="I77" s="121"/>
      <c r="J77" s="121"/>
      <c r="P77" s="165"/>
      <c r="Q77" s="165"/>
      <c r="R77" s="165"/>
      <c r="S77" s="165"/>
      <c r="T77" s="165"/>
      <c r="U77" s="165"/>
      <c r="V77" s="165"/>
      <c r="W77" s="165"/>
      <c r="X77" s="121"/>
      <c r="Y77" s="121"/>
      <c r="Z77" s="121"/>
      <c r="AA77" s="121"/>
      <c r="AB77" s="121"/>
    </row>
    <row r="78" spans="9:28" ht="15.75">
      <c r="I78" s="121"/>
      <c r="J78" s="121"/>
      <c r="P78" s="165"/>
      <c r="Q78" s="165"/>
      <c r="R78" s="165"/>
      <c r="S78" s="165"/>
      <c r="T78" s="165"/>
      <c r="U78" s="165"/>
      <c r="V78" s="165"/>
      <c r="W78" s="165"/>
      <c r="X78" s="121"/>
      <c r="Y78" s="121"/>
      <c r="Z78" s="121"/>
      <c r="AA78" s="121"/>
      <c r="AB78" s="121"/>
    </row>
    <row r="79" spans="9:28" ht="15.75">
      <c r="I79" s="121"/>
      <c r="J79" s="121"/>
      <c r="P79" s="165"/>
      <c r="Q79" s="165"/>
      <c r="R79" s="165"/>
      <c r="S79" s="165"/>
      <c r="T79" s="165"/>
      <c r="U79" s="165"/>
      <c r="V79" s="165"/>
      <c r="W79" s="165"/>
      <c r="X79" s="121"/>
      <c r="Y79" s="121"/>
      <c r="Z79" s="121"/>
      <c r="AA79" s="121"/>
      <c r="AB79" s="121"/>
    </row>
    <row r="80" spans="9:28" ht="15.75">
      <c r="I80" s="121"/>
      <c r="J80" s="121"/>
      <c r="P80" s="165"/>
      <c r="Q80" s="165"/>
      <c r="R80" s="165"/>
      <c r="S80" s="165"/>
      <c r="T80" s="165"/>
      <c r="U80" s="165"/>
      <c r="V80" s="165"/>
      <c r="W80" s="165"/>
      <c r="X80" s="121"/>
      <c r="Y80" s="121"/>
      <c r="Z80" s="121"/>
      <c r="AA80" s="121"/>
      <c r="AB80" s="121"/>
    </row>
    <row r="81" spans="9:28" ht="15.75">
      <c r="I81" s="121"/>
      <c r="J81" s="121"/>
      <c r="P81" s="165"/>
      <c r="Q81" s="165"/>
      <c r="R81" s="165"/>
      <c r="S81" s="165"/>
      <c r="T81" s="165"/>
      <c r="U81" s="165"/>
      <c r="V81" s="165"/>
      <c r="W81" s="165"/>
      <c r="X81" s="121"/>
      <c r="Y81" s="121"/>
      <c r="Z81" s="121"/>
      <c r="AA81" s="121"/>
      <c r="AB81" s="121"/>
    </row>
    <row r="82" spans="9:28" ht="15.75">
      <c r="I82" s="121"/>
      <c r="J82" s="121"/>
      <c r="P82" s="165"/>
      <c r="Q82" s="165"/>
      <c r="R82" s="165"/>
      <c r="S82" s="165"/>
      <c r="T82" s="165"/>
      <c r="U82" s="165"/>
      <c r="V82" s="165"/>
      <c r="W82" s="165"/>
      <c r="X82" s="121"/>
      <c r="Y82" s="121"/>
      <c r="Z82" s="121"/>
      <c r="AA82" s="121"/>
      <c r="AB82" s="121"/>
    </row>
  </sheetData>
  <sheetProtection/>
  <mergeCells count="72">
    <mergeCell ref="A59:F59"/>
    <mergeCell ref="A60:F60"/>
    <mergeCell ref="A61:F61"/>
    <mergeCell ref="A62:F62"/>
    <mergeCell ref="A72:F72"/>
    <mergeCell ref="A69:F69"/>
    <mergeCell ref="A57:F57"/>
    <mergeCell ref="A58:F58"/>
    <mergeCell ref="A73:F73"/>
    <mergeCell ref="A64:F64"/>
    <mergeCell ref="A65:F65"/>
    <mergeCell ref="A67:F67"/>
    <mergeCell ref="A68:F68"/>
    <mergeCell ref="A70:F70"/>
    <mergeCell ref="A71:F71"/>
    <mergeCell ref="A66:F66"/>
    <mergeCell ref="A47:F47"/>
    <mergeCell ref="A48:F48"/>
    <mergeCell ref="A49:F49"/>
    <mergeCell ref="A50:F50"/>
    <mergeCell ref="A63:F63"/>
    <mergeCell ref="A52:F52"/>
    <mergeCell ref="A53:F53"/>
    <mergeCell ref="A54:F54"/>
    <mergeCell ref="A55:F55"/>
    <mergeCell ref="A56:F56"/>
    <mergeCell ref="A36:F36"/>
    <mergeCell ref="A37:F37"/>
    <mergeCell ref="A51:F51"/>
    <mergeCell ref="A39:F39"/>
    <mergeCell ref="A40:F40"/>
    <mergeCell ref="A41:F41"/>
    <mergeCell ref="A42:F42"/>
    <mergeCell ref="A43:F43"/>
    <mergeCell ref="A45:F45"/>
    <mergeCell ref="A46:F46"/>
    <mergeCell ref="A38:F38"/>
    <mergeCell ref="A27:F27"/>
    <mergeCell ref="A28:F28"/>
    <mergeCell ref="A29:F29"/>
    <mergeCell ref="A30:F30"/>
    <mergeCell ref="A31:F31"/>
    <mergeCell ref="A32:F32"/>
    <mergeCell ref="A33:F33"/>
    <mergeCell ref="A34:F34"/>
    <mergeCell ref="A35:F35"/>
    <mergeCell ref="A20:F20"/>
    <mergeCell ref="A21:F21"/>
    <mergeCell ref="A22:F22"/>
    <mergeCell ref="A23:F23"/>
    <mergeCell ref="A24:F24"/>
    <mergeCell ref="A25:F25"/>
    <mergeCell ref="A9:F9"/>
    <mergeCell ref="A10:F10"/>
    <mergeCell ref="A11:F11"/>
    <mergeCell ref="A12:F12"/>
    <mergeCell ref="A26:F26"/>
    <mergeCell ref="A14:F14"/>
    <mergeCell ref="A16:F16"/>
    <mergeCell ref="A17:F17"/>
    <mergeCell ref="A18:F18"/>
    <mergeCell ref="A19:F19"/>
    <mergeCell ref="A15:F15"/>
    <mergeCell ref="A44:F44"/>
    <mergeCell ref="A13:F13"/>
    <mergeCell ref="A1:W1"/>
    <mergeCell ref="A2:W2"/>
    <mergeCell ref="A3:W3"/>
    <mergeCell ref="A5:F5"/>
    <mergeCell ref="A6:F6"/>
    <mergeCell ref="A7:F7"/>
    <mergeCell ref="A8:F8"/>
  </mergeCells>
  <printOptions/>
  <pageMargins left="0.7874015748031497" right="0.3937007874015748" top="0.7480314960629921" bottom="0.7480314960629921" header="0.31496062992125984" footer="0.31496062992125984"/>
  <pageSetup horizontalDpi="600" verticalDpi="600" orientation="portrait" paperSize="9" scale="54" r:id="rId1"/>
  <rowBreaks count="1" manualBreakCount="1">
    <brk id="59" max="20" man="1"/>
  </rowBreaks>
  <colBreaks count="1" manualBreakCount="1">
    <brk id="7" max="81" man="1"/>
  </colBreaks>
</worksheet>
</file>

<file path=xl/worksheets/sheet10.xml><?xml version="1.0" encoding="utf-8"?>
<worksheet xmlns="http://schemas.openxmlformats.org/spreadsheetml/2006/main" xmlns:r="http://schemas.openxmlformats.org/officeDocument/2006/relationships">
  <dimension ref="A2:G49"/>
  <sheetViews>
    <sheetView view="pageBreakPreview" zoomScale="60" zoomScalePageLayoutView="0" workbookViewId="0" topLeftCell="A1">
      <selection activeCell="D28" sqref="D28"/>
    </sheetView>
  </sheetViews>
  <sheetFormatPr defaultColWidth="9.140625" defaultRowHeight="15"/>
  <cols>
    <col min="1" max="1" width="20.140625" style="0" customWidth="1"/>
    <col min="2" max="2" width="13.140625" style="0" customWidth="1"/>
    <col min="3" max="3" width="14.140625" style="0" customWidth="1"/>
    <col min="4" max="4" width="15.421875" style="0" customWidth="1"/>
    <col min="5" max="5" width="16.28125" style="0" customWidth="1"/>
    <col min="6" max="6" width="15.140625" style="0" customWidth="1"/>
    <col min="7" max="7" width="14.28125" style="0" customWidth="1"/>
  </cols>
  <sheetData>
    <row r="2" spans="1:6" ht="15">
      <c r="A2" s="416"/>
      <c r="B2" s="416"/>
      <c r="C2" s="416"/>
      <c r="D2" s="416"/>
      <c r="E2" s="416"/>
      <c r="F2" s="416"/>
    </row>
    <row r="3" spans="1:7" ht="15">
      <c r="A3" s="434" t="s">
        <v>788</v>
      </c>
      <c r="B3" s="416"/>
      <c r="C3" s="416"/>
      <c r="D3" s="416"/>
      <c r="E3" s="416"/>
      <c r="F3" s="416"/>
      <c r="G3" s="416"/>
    </row>
    <row r="4" spans="1:7" ht="15">
      <c r="A4" s="435" t="s">
        <v>789</v>
      </c>
      <c r="B4" s="794"/>
      <c r="C4" s="794"/>
      <c r="D4" s="794"/>
      <c r="E4" s="794"/>
      <c r="F4" s="794"/>
      <c r="G4" s="794"/>
    </row>
    <row r="5" spans="1:7" ht="15">
      <c r="A5" s="436" t="s">
        <v>790</v>
      </c>
      <c r="B5" s="794"/>
      <c r="C5" s="794"/>
      <c r="D5" s="794"/>
      <c r="E5" s="794"/>
      <c r="F5" s="794"/>
      <c r="G5" s="794"/>
    </row>
    <row r="6" spans="1:7" ht="15">
      <c r="A6" s="793" t="s">
        <v>791</v>
      </c>
      <c r="B6" s="794"/>
      <c r="C6" s="794"/>
      <c r="D6" s="794"/>
      <c r="E6" s="794"/>
      <c r="F6" s="794"/>
      <c r="G6" s="794"/>
    </row>
    <row r="7" spans="1:7" ht="15">
      <c r="A7" s="793" t="s">
        <v>792</v>
      </c>
      <c r="B7" s="794"/>
      <c r="C7" s="794"/>
      <c r="D7" s="794"/>
      <c r="E7" s="794"/>
      <c r="F7" s="794"/>
      <c r="G7" s="794"/>
    </row>
    <row r="8" spans="1:7" ht="15">
      <c r="A8" s="793" t="s">
        <v>793</v>
      </c>
      <c r="B8" s="794"/>
      <c r="C8" s="794"/>
      <c r="D8" s="794"/>
      <c r="E8" s="794"/>
      <c r="F8" s="794"/>
      <c r="G8" s="794"/>
    </row>
    <row r="9" spans="1:7" ht="15.75" thickBot="1">
      <c r="A9" s="416"/>
      <c r="B9" s="416"/>
      <c r="C9" s="416"/>
      <c r="D9" s="416"/>
      <c r="E9" s="416"/>
      <c r="F9" s="416"/>
      <c r="G9" s="416"/>
    </row>
    <row r="10" spans="1:7" ht="15">
      <c r="A10" s="437" t="s">
        <v>794</v>
      </c>
      <c r="B10" s="795" t="s">
        <v>495</v>
      </c>
      <c r="C10" s="795"/>
      <c r="D10" s="795" t="s">
        <v>786</v>
      </c>
      <c r="E10" s="795"/>
      <c r="F10" s="796" t="s">
        <v>787</v>
      </c>
      <c r="G10" s="796"/>
    </row>
    <row r="11" spans="1:7" ht="15.75" thickBot="1">
      <c r="A11" s="438"/>
      <c r="B11" s="417" t="s">
        <v>682</v>
      </c>
      <c r="C11" s="417" t="s">
        <v>683</v>
      </c>
      <c r="D11" s="417" t="s">
        <v>682</v>
      </c>
      <c r="E11" s="418" t="s">
        <v>683</v>
      </c>
      <c r="F11" s="417" t="s">
        <v>682</v>
      </c>
      <c r="G11" s="419" t="s">
        <v>683</v>
      </c>
    </row>
    <row r="12" spans="1:7" ht="15">
      <c r="A12" s="439" t="s">
        <v>795</v>
      </c>
      <c r="B12" s="420"/>
      <c r="C12" s="421">
        <v>312015135.16</v>
      </c>
      <c r="D12" s="421">
        <v>12426199169.04</v>
      </c>
      <c r="E12" s="421">
        <v>12639045533.43</v>
      </c>
      <c r="F12" s="420"/>
      <c r="G12" s="422">
        <v>524868811.95</v>
      </c>
    </row>
    <row r="13" spans="1:7" ht="15">
      <c r="A13" s="440" t="s">
        <v>796</v>
      </c>
      <c r="B13" s="423"/>
      <c r="C13" s="423"/>
      <c r="D13" s="424">
        <v>121577184.35</v>
      </c>
      <c r="E13" s="424">
        <v>163778316.01</v>
      </c>
      <c r="F13" s="424">
        <v>-42201131.66</v>
      </c>
      <c r="G13" s="425"/>
    </row>
    <row r="14" spans="1:7" ht="15">
      <c r="A14" s="440" t="s">
        <v>797</v>
      </c>
      <c r="B14" s="423"/>
      <c r="C14" s="423"/>
      <c r="D14" s="426">
        <v>1500000</v>
      </c>
      <c r="E14" s="423"/>
      <c r="F14" s="426">
        <v>1500000</v>
      </c>
      <c r="G14" s="425"/>
    </row>
    <row r="15" spans="1:7" ht="15">
      <c r="A15" s="440" t="s">
        <v>798</v>
      </c>
      <c r="B15" s="423"/>
      <c r="C15" s="423"/>
      <c r="D15" s="426">
        <v>30600000</v>
      </c>
      <c r="E15" s="426">
        <v>450000</v>
      </c>
      <c r="F15" s="426">
        <v>30150000</v>
      </c>
      <c r="G15" s="425"/>
    </row>
    <row r="16" spans="1:7" ht="15">
      <c r="A16" s="440" t="s">
        <v>799</v>
      </c>
      <c r="B16" s="423"/>
      <c r="C16" s="426">
        <v>55000000</v>
      </c>
      <c r="D16" s="426">
        <v>55000000</v>
      </c>
      <c r="E16" s="423"/>
      <c r="F16" s="423"/>
      <c r="G16" s="425"/>
    </row>
    <row r="17" spans="1:7" ht="15">
      <c r="A17" s="440" t="s">
        <v>485</v>
      </c>
      <c r="B17" s="423"/>
      <c r="C17" s="424">
        <v>12524.95</v>
      </c>
      <c r="D17" s="424">
        <v>6784570543.95</v>
      </c>
      <c r="E17" s="424">
        <v>6793301176.88</v>
      </c>
      <c r="F17" s="423"/>
      <c r="G17" s="427">
        <v>8743157.88</v>
      </c>
    </row>
    <row r="18" spans="1:7" ht="15">
      <c r="A18" s="440" t="s">
        <v>800</v>
      </c>
      <c r="B18" s="423"/>
      <c r="C18" s="424">
        <v>246902248.11</v>
      </c>
      <c r="D18" s="424">
        <v>5231428710.42</v>
      </c>
      <c r="E18" s="424">
        <v>5384829697.66</v>
      </c>
      <c r="F18" s="423"/>
      <c r="G18" s="427">
        <v>400303235.35</v>
      </c>
    </row>
    <row r="19" spans="1:7" ht="15">
      <c r="A19" s="440" t="s">
        <v>476</v>
      </c>
      <c r="B19" s="423"/>
      <c r="C19" s="423"/>
      <c r="D19" s="426">
        <v>36605000</v>
      </c>
      <c r="E19" s="424">
        <v>46799999.99</v>
      </c>
      <c r="F19" s="423"/>
      <c r="G19" s="427">
        <v>10194999.99</v>
      </c>
    </row>
    <row r="20" spans="1:7" ht="15">
      <c r="A20" s="440" t="s">
        <v>801</v>
      </c>
      <c r="B20" s="423"/>
      <c r="C20" s="428">
        <v>16198.1</v>
      </c>
      <c r="D20" s="424">
        <v>24387.99</v>
      </c>
      <c r="E20" s="424">
        <v>8189.89</v>
      </c>
      <c r="F20" s="423"/>
      <c r="G20" s="425"/>
    </row>
    <row r="21" spans="1:7" ht="15">
      <c r="A21" s="440" t="s">
        <v>480</v>
      </c>
      <c r="B21" s="423"/>
      <c r="C21" s="423"/>
      <c r="D21" s="424">
        <v>15901529.93</v>
      </c>
      <c r="E21" s="426">
        <v>15893653</v>
      </c>
      <c r="F21" s="423"/>
      <c r="G21" s="427">
        <v>-7876.93</v>
      </c>
    </row>
    <row r="22" spans="1:7" ht="15">
      <c r="A22" s="440" t="s">
        <v>802</v>
      </c>
      <c r="B22" s="423"/>
      <c r="C22" s="426">
        <v>10084164</v>
      </c>
      <c r="D22" s="423"/>
      <c r="E22" s="426">
        <v>148984500</v>
      </c>
      <c r="F22" s="423"/>
      <c r="G22" s="429">
        <v>159068664</v>
      </c>
    </row>
    <row r="23" spans="1:7" ht="15">
      <c r="A23" s="440" t="s">
        <v>803</v>
      </c>
      <c r="B23" s="423"/>
      <c r="C23" s="423"/>
      <c r="D23" s="426">
        <v>148984500</v>
      </c>
      <c r="E23" s="426">
        <v>85000000</v>
      </c>
      <c r="F23" s="426">
        <v>63984500</v>
      </c>
      <c r="G23" s="425"/>
    </row>
    <row r="24" spans="1:7" ht="15.75" thickBot="1">
      <c r="A24" s="440" t="s">
        <v>804</v>
      </c>
      <c r="B24" s="423"/>
      <c r="C24" s="423"/>
      <c r="D24" s="428">
        <v>7312.4</v>
      </c>
      <c r="E24" s="423"/>
      <c r="F24" s="423"/>
      <c r="G24" s="425"/>
    </row>
    <row r="25" spans="1:7" ht="15.75" thickBot="1">
      <c r="A25" s="441" t="s">
        <v>805</v>
      </c>
      <c r="B25" s="430"/>
      <c r="C25" s="431">
        <v>312015135.16</v>
      </c>
      <c r="D25" s="431">
        <v>12426199169.04</v>
      </c>
      <c r="E25" s="431">
        <v>12639045533.43</v>
      </c>
      <c r="F25" s="432"/>
      <c r="G25" s="433">
        <v>524861499.55</v>
      </c>
    </row>
    <row r="27" ht="15">
      <c r="A27">
        <v>3310</v>
      </c>
    </row>
    <row r="28" spans="1:3" ht="15">
      <c r="A28" s="442" t="s">
        <v>477</v>
      </c>
      <c r="B28" s="443"/>
      <c r="C28" s="445">
        <v>3813716.75</v>
      </c>
    </row>
    <row r="29" spans="1:3" ht="15">
      <c r="A29" s="442" t="s">
        <v>487</v>
      </c>
      <c r="B29" s="443"/>
      <c r="C29" s="445">
        <v>8865645.43</v>
      </c>
    </row>
    <row r="31" ht="15">
      <c r="A31">
        <v>3360</v>
      </c>
    </row>
    <row r="32" spans="1:3" ht="15">
      <c r="A32" s="442" t="s">
        <v>477</v>
      </c>
      <c r="B32" s="443"/>
      <c r="C32" s="445">
        <v>36428571.37</v>
      </c>
    </row>
    <row r="33" spans="1:3" ht="15">
      <c r="A33" s="442" t="s">
        <v>478</v>
      </c>
      <c r="B33" s="443"/>
      <c r="C33" s="445">
        <v>5357142.84</v>
      </c>
    </row>
    <row r="35" ht="15">
      <c r="A35">
        <v>3380</v>
      </c>
    </row>
    <row r="36" spans="1:3" ht="24">
      <c r="A36" s="442" t="s">
        <v>806</v>
      </c>
      <c r="B36" s="443"/>
      <c r="C36" s="446">
        <v>7312.4</v>
      </c>
    </row>
    <row r="38" ht="15">
      <c r="A38">
        <v>3397</v>
      </c>
    </row>
    <row r="39" spans="1:3" ht="15">
      <c r="A39" s="442" t="s">
        <v>477</v>
      </c>
      <c r="B39" s="443"/>
      <c r="C39" s="444">
        <v>4150</v>
      </c>
    </row>
    <row r="40" spans="1:3" ht="15">
      <c r="A40" s="442" t="s">
        <v>478</v>
      </c>
      <c r="B40" s="443"/>
      <c r="C40" s="445">
        <v>5357142.84</v>
      </c>
    </row>
    <row r="42" ht="15">
      <c r="A42">
        <v>1220</v>
      </c>
    </row>
    <row r="43" spans="1:3" ht="15">
      <c r="A43" s="442" t="s">
        <v>491</v>
      </c>
      <c r="B43" s="446">
        <v>37122487.7</v>
      </c>
      <c r="C43" s="443"/>
    </row>
    <row r="45" ht="15">
      <c r="A45">
        <v>1260</v>
      </c>
    </row>
    <row r="46" spans="1:3" ht="15">
      <c r="A46" s="442" t="s">
        <v>492</v>
      </c>
      <c r="B46" s="445">
        <v>1339285.71</v>
      </c>
      <c r="C46" s="447"/>
    </row>
    <row r="48" ht="15">
      <c r="A48">
        <v>1284</v>
      </c>
    </row>
    <row r="49" spans="1:3" ht="15">
      <c r="A49" s="442" t="s">
        <v>493</v>
      </c>
      <c r="B49" s="445">
        <v>27321428.61</v>
      </c>
      <c r="C49" s="447"/>
    </row>
  </sheetData>
  <sheetProtection/>
  <mergeCells count="31">
    <mergeCell ref="A8:G8"/>
    <mergeCell ref="A6:G6"/>
    <mergeCell ref="B10:C10"/>
    <mergeCell ref="D10:E10"/>
    <mergeCell ref="F10:G10"/>
    <mergeCell ref="A7:G7"/>
    <mergeCell ref="B4:G4"/>
    <mergeCell ref="B5:G5"/>
  </mergeCells>
  <printOptions/>
  <pageMargins left="0.5118110236220472" right="0.31496062992125984" top="0.35433070866141736" bottom="0.35433070866141736" header="0.31496062992125984" footer="0.31496062992125984"/>
  <pageSetup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dimension ref="A2:Y382"/>
  <sheetViews>
    <sheetView view="pageBreakPreview" zoomScaleSheetLayoutView="100" zoomScalePageLayoutView="0" workbookViewId="0" topLeftCell="A290">
      <selection activeCell="N303" activeCellId="1" sqref="F303 N303"/>
    </sheetView>
  </sheetViews>
  <sheetFormatPr defaultColWidth="9.140625" defaultRowHeight="15"/>
  <cols>
    <col min="1" max="1" width="28.57421875" style="0" customWidth="1"/>
    <col min="3" max="3" width="16.57421875" style="0" customWidth="1"/>
    <col min="4" max="4" width="7.28125" style="0" customWidth="1"/>
    <col min="5" max="5" width="13.140625" style="0" customWidth="1"/>
    <col min="6" max="6" width="13.7109375" style="0" customWidth="1"/>
    <col min="7" max="8" width="0" style="0" hidden="1" customWidth="1"/>
    <col min="9" max="9" width="16.421875" style="0" hidden="1" customWidth="1"/>
    <col min="10" max="10" width="9.8515625" style="0" hidden="1" customWidth="1"/>
    <col min="11" max="11" width="10.57421875" style="0" hidden="1" customWidth="1"/>
    <col min="12" max="12" width="13.00390625" style="0" hidden="1" customWidth="1"/>
    <col min="14" max="14" width="12.57421875" style="0" customWidth="1"/>
    <col min="16" max="16" width="15.8515625" style="0" customWidth="1"/>
    <col min="18" max="18" width="11.7109375" style="0" bestFit="1" customWidth="1"/>
  </cols>
  <sheetData>
    <row r="2" spans="1:12" ht="15">
      <c r="A2" s="39"/>
      <c r="B2" s="39"/>
      <c r="C2" s="39"/>
      <c r="D2" s="39"/>
      <c r="E2" s="40"/>
      <c r="F2" s="40"/>
      <c r="G2" s="39"/>
      <c r="H2" s="39"/>
      <c r="I2" s="39"/>
      <c r="J2" s="39"/>
      <c r="K2" s="39"/>
      <c r="L2" s="39"/>
    </row>
    <row r="3" spans="1:12" ht="15">
      <c r="A3" s="39"/>
      <c r="B3" s="39"/>
      <c r="C3" s="39"/>
      <c r="D3" s="39"/>
      <c r="E3" s="40"/>
      <c r="F3" s="40"/>
      <c r="G3" s="39"/>
      <c r="H3" s="39"/>
      <c r="I3" s="39"/>
      <c r="J3" s="39"/>
      <c r="K3" s="39"/>
      <c r="L3" s="39"/>
    </row>
    <row r="4" spans="1:12" ht="15">
      <c r="A4" s="39"/>
      <c r="B4" s="39"/>
      <c r="C4" s="39"/>
      <c r="D4" s="39"/>
      <c r="E4" s="40"/>
      <c r="F4" s="40"/>
      <c r="G4" s="39"/>
      <c r="H4" s="39"/>
      <c r="I4" s="39"/>
      <c r="J4" s="39"/>
      <c r="K4" s="39"/>
      <c r="L4" s="39"/>
    </row>
    <row r="5" spans="1:12" ht="15">
      <c r="A5" s="39"/>
      <c r="B5" s="39"/>
      <c r="C5" s="39"/>
      <c r="D5" s="39"/>
      <c r="E5" s="40"/>
      <c r="F5" s="40"/>
      <c r="G5" s="39"/>
      <c r="H5" s="39"/>
      <c r="I5" s="39"/>
      <c r="J5" s="39"/>
      <c r="K5" s="39"/>
      <c r="L5" s="39"/>
    </row>
    <row r="6" spans="1:12" ht="15">
      <c r="A6" s="39"/>
      <c r="B6" s="39"/>
      <c r="C6" s="39"/>
      <c r="D6" s="39"/>
      <c r="E6" s="40"/>
      <c r="F6" s="40"/>
      <c r="G6" s="39"/>
      <c r="H6" s="39"/>
      <c r="I6" s="39"/>
      <c r="J6" s="39"/>
      <c r="K6" s="39"/>
      <c r="L6" s="39"/>
    </row>
    <row r="7" spans="1:12" ht="15">
      <c r="A7" s="39"/>
      <c r="B7" s="39"/>
      <c r="C7" s="39"/>
      <c r="D7" s="39"/>
      <c r="E7" s="40"/>
      <c r="F7" s="40"/>
      <c r="G7" s="39"/>
      <c r="H7" s="39"/>
      <c r="I7" s="39"/>
      <c r="J7" s="39"/>
      <c r="K7" s="39"/>
      <c r="L7" s="39"/>
    </row>
    <row r="8" spans="1:12" ht="15">
      <c r="A8" s="39"/>
      <c r="B8" s="39"/>
      <c r="C8" s="39"/>
      <c r="D8" s="39"/>
      <c r="E8" s="40"/>
      <c r="F8" s="40"/>
      <c r="G8" s="39"/>
      <c r="H8" s="39"/>
      <c r="I8" s="39"/>
      <c r="J8" s="39"/>
      <c r="K8" s="39"/>
      <c r="L8" s="39"/>
    </row>
    <row r="9" spans="1:12" ht="15">
      <c r="A9" s="39"/>
      <c r="B9" s="39"/>
      <c r="C9" s="39"/>
      <c r="D9" s="39"/>
      <c r="E9" s="40"/>
      <c r="F9" s="40"/>
      <c r="G9" s="39"/>
      <c r="H9" s="39"/>
      <c r="I9" s="39"/>
      <c r="J9" s="39"/>
      <c r="K9" s="39"/>
      <c r="L9" s="39"/>
    </row>
    <row r="10" spans="1:12" ht="15">
      <c r="A10" s="39"/>
      <c r="B10" s="39"/>
      <c r="C10" s="39"/>
      <c r="D10" s="39"/>
      <c r="E10" s="40"/>
      <c r="F10" s="40"/>
      <c r="G10" s="39"/>
      <c r="H10" s="39"/>
      <c r="I10" s="39"/>
      <c r="J10" s="39"/>
      <c r="K10" s="39"/>
      <c r="L10" s="39"/>
    </row>
    <row r="11" spans="1:12" ht="15">
      <c r="A11" s="39"/>
      <c r="B11" s="39"/>
      <c r="C11" s="39"/>
      <c r="D11" s="39"/>
      <c r="E11" s="40"/>
      <c r="F11" s="40"/>
      <c r="G11" s="39"/>
      <c r="H11" s="39"/>
      <c r="I11" s="39"/>
      <c r="J11" s="39"/>
      <c r="K11" s="39"/>
      <c r="L11" s="39"/>
    </row>
    <row r="12" spans="1:12" ht="15">
      <c r="A12" s="39"/>
      <c r="B12" s="39"/>
      <c r="C12" s="39"/>
      <c r="D12" s="39"/>
      <c r="E12" s="40"/>
      <c r="F12" s="40"/>
      <c r="G12" s="39"/>
      <c r="H12" s="39"/>
      <c r="I12" s="39"/>
      <c r="J12" s="39"/>
      <c r="K12" s="39"/>
      <c r="L12" s="39"/>
    </row>
    <row r="13" spans="1:12" ht="15">
      <c r="A13" s="39"/>
      <c r="B13" s="39"/>
      <c r="C13" s="39"/>
      <c r="D13" s="39"/>
      <c r="E13" s="40"/>
      <c r="F13" s="40"/>
      <c r="G13" s="39"/>
      <c r="H13" s="39"/>
      <c r="I13" s="39"/>
      <c r="J13" s="39"/>
      <c r="K13" s="39"/>
      <c r="L13" s="39"/>
    </row>
    <row r="14" spans="1:12" ht="15">
      <c r="A14" s="39"/>
      <c r="B14" s="39"/>
      <c r="C14" s="39"/>
      <c r="D14" s="39"/>
      <c r="E14" s="40"/>
      <c r="F14" s="40"/>
      <c r="G14" s="39"/>
      <c r="H14" s="39"/>
      <c r="I14" s="39"/>
      <c r="J14" s="39"/>
      <c r="K14" s="39"/>
      <c r="L14" s="39"/>
    </row>
    <row r="15" spans="1:12" ht="15">
      <c r="A15" s="39"/>
      <c r="B15" s="39"/>
      <c r="C15" s="39"/>
      <c r="D15" s="39"/>
      <c r="E15" s="40"/>
      <c r="F15" s="40"/>
      <c r="G15" s="39"/>
      <c r="H15" s="39"/>
      <c r="I15" s="39"/>
      <c r="J15" s="39"/>
      <c r="K15" s="39"/>
      <c r="L15" s="39"/>
    </row>
    <row r="16" spans="1:12" ht="15">
      <c r="A16" s="39"/>
      <c r="B16" s="39"/>
      <c r="C16" s="39"/>
      <c r="D16" s="39"/>
      <c r="E16" s="40"/>
      <c r="F16" s="40"/>
      <c r="G16" s="39"/>
      <c r="H16" s="39"/>
      <c r="I16" s="39"/>
      <c r="J16" s="39"/>
      <c r="K16" s="39"/>
      <c r="L16" s="39"/>
    </row>
    <row r="17" spans="1:12" ht="15">
      <c r="A17" s="39"/>
      <c r="B17" s="39"/>
      <c r="C17" s="39"/>
      <c r="D17" s="39"/>
      <c r="E17" s="40"/>
      <c r="F17" s="40"/>
      <c r="G17" s="39"/>
      <c r="H17" s="39"/>
      <c r="I17" s="39"/>
      <c r="J17" s="39"/>
      <c r="K17" s="39"/>
      <c r="L17" s="39"/>
    </row>
    <row r="18" spans="1:12" ht="15">
      <c r="A18" s="39"/>
      <c r="B18" s="39"/>
      <c r="C18" s="39"/>
      <c r="D18" s="39"/>
      <c r="E18" s="40"/>
      <c r="F18" s="40"/>
      <c r="G18" s="39"/>
      <c r="H18" s="39"/>
      <c r="I18" s="39"/>
      <c r="J18" s="39"/>
      <c r="K18" s="39"/>
      <c r="L18" s="39"/>
    </row>
    <row r="19" spans="1:12" ht="15">
      <c r="A19" s="39"/>
      <c r="B19" s="39"/>
      <c r="C19" s="39"/>
      <c r="D19" s="39"/>
      <c r="E19" s="40"/>
      <c r="F19" s="40"/>
      <c r="G19" s="39"/>
      <c r="H19" s="39"/>
      <c r="I19" s="39"/>
      <c r="J19" s="39"/>
      <c r="K19" s="39"/>
      <c r="L19" s="39"/>
    </row>
    <row r="20" spans="1:12" ht="20.25">
      <c r="A20" s="41"/>
      <c r="B20" s="39"/>
      <c r="C20" s="39"/>
      <c r="D20" s="39"/>
      <c r="E20" s="40"/>
      <c r="F20" s="40"/>
      <c r="G20" s="39"/>
      <c r="H20" s="39"/>
      <c r="I20" s="39"/>
      <c r="J20" s="39"/>
      <c r="K20" s="39"/>
      <c r="L20" s="39"/>
    </row>
    <row r="21" spans="1:12" ht="33.75" customHeight="1">
      <c r="A21" s="813" t="s">
        <v>177</v>
      </c>
      <c r="B21" s="813"/>
      <c r="C21" s="813"/>
      <c r="D21" s="813"/>
      <c r="E21" s="813"/>
      <c r="F21" s="813"/>
      <c r="G21" s="39"/>
      <c r="H21" s="39"/>
      <c r="I21" s="39"/>
      <c r="J21" s="39"/>
      <c r="K21" s="39"/>
      <c r="L21" s="39"/>
    </row>
    <row r="22" spans="1:12" ht="20.25">
      <c r="A22" s="39"/>
      <c r="B22" s="39"/>
      <c r="C22" s="41" t="s">
        <v>178</v>
      </c>
      <c r="D22" s="39"/>
      <c r="E22" s="40"/>
      <c r="F22" s="40"/>
      <c r="G22" s="39"/>
      <c r="H22" s="39"/>
      <c r="I22" s="39"/>
      <c r="J22" s="39"/>
      <c r="K22" s="39"/>
      <c r="L22" s="39"/>
    </row>
    <row r="23" spans="1:12" ht="15.75">
      <c r="A23" s="42"/>
      <c r="B23" s="39"/>
      <c r="C23" s="39"/>
      <c r="D23" s="39"/>
      <c r="E23" s="40"/>
      <c r="F23" s="40"/>
      <c r="G23" s="39"/>
      <c r="H23" s="39"/>
      <c r="I23" s="39"/>
      <c r="J23" s="39"/>
      <c r="K23" s="39"/>
      <c r="L23" s="39"/>
    </row>
    <row r="24" spans="1:12" ht="15.75">
      <c r="A24" s="39"/>
      <c r="B24" s="39"/>
      <c r="C24" s="42" t="s">
        <v>873</v>
      </c>
      <c r="D24" s="39"/>
      <c r="E24" s="40"/>
      <c r="F24" s="40"/>
      <c r="G24" s="39"/>
      <c r="H24" s="39"/>
      <c r="I24" s="39"/>
      <c r="J24" s="39"/>
      <c r="K24" s="39"/>
      <c r="L24" s="39"/>
    </row>
    <row r="25" spans="7:12" ht="15">
      <c r="G25" s="39"/>
      <c r="H25" s="39"/>
      <c r="I25" s="39"/>
      <c r="J25" s="39"/>
      <c r="K25" s="39"/>
      <c r="L25" s="39"/>
    </row>
    <row r="26" spans="1:12" ht="15">
      <c r="A26" s="39"/>
      <c r="B26" s="39"/>
      <c r="C26" s="39"/>
      <c r="D26" s="39"/>
      <c r="E26" s="40"/>
      <c r="F26" s="40"/>
      <c r="G26" s="39"/>
      <c r="H26" s="39"/>
      <c r="I26" s="39"/>
      <c r="J26" s="39"/>
      <c r="K26" s="39"/>
      <c r="L26" s="39"/>
    </row>
    <row r="27" spans="1:12" ht="15">
      <c r="A27" s="39"/>
      <c r="B27" s="39"/>
      <c r="C27" s="39"/>
      <c r="D27" s="39"/>
      <c r="E27" s="40"/>
      <c r="F27" s="40"/>
      <c r="G27" s="39"/>
      <c r="H27" s="39"/>
      <c r="I27" s="39"/>
      <c r="J27" s="39"/>
      <c r="K27" s="39"/>
      <c r="L27" s="39"/>
    </row>
    <row r="28" spans="1:12" ht="15">
      <c r="A28" s="39"/>
      <c r="B28" s="39"/>
      <c r="C28" s="39"/>
      <c r="D28" s="39"/>
      <c r="E28" s="40"/>
      <c r="F28" s="40"/>
      <c r="G28" s="39"/>
      <c r="H28" s="39"/>
      <c r="I28" s="39"/>
      <c r="J28" s="39"/>
      <c r="K28" s="39"/>
      <c r="L28" s="39"/>
    </row>
    <row r="29" spans="1:12" ht="15">
      <c r="A29" s="39"/>
      <c r="B29" s="39"/>
      <c r="C29" s="39"/>
      <c r="D29" s="39"/>
      <c r="E29" s="40"/>
      <c r="F29" s="40"/>
      <c r="G29" s="39"/>
      <c r="H29" s="39"/>
      <c r="I29" s="39"/>
      <c r="J29" s="39"/>
      <c r="K29" s="39"/>
      <c r="L29" s="39"/>
    </row>
    <row r="30" spans="1:12" ht="15">
      <c r="A30" s="39"/>
      <c r="B30" s="39"/>
      <c r="C30" s="39"/>
      <c r="D30" s="39"/>
      <c r="E30" s="40"/>
      <c r="F30" s="40"/>
      <c r="G30" s="39"/>
      <c r="H30" s="39"/>
      <c r="I30" s="39"/>
      <c r="J30" s="39"/>
      <c r="K30" s="39"/>
      <c r="L30" s="39"/>
    </row>
    <row r="31" spans="1:12" ht="15">
      <c r="A31" s="39"/>
      <c r="B31" s="39"/>
      <c r="C31" s="39"/>
      <c r="D31" s="39"/>
      <c r="E31" s="40"/>
      <c r="F31" s="40"/>
      <c r="G31" s="39"/>
      <c r="H31" s="39"/>
      <c r="I31" s="39"/>
      <c r="J31" s="39"/>
      <c r="K31" s="39"/>
      <c r="L31" s="39"/>
    </row>
    <row r="32" spans="1:12" ht="15">
      <c r="A32" s="39"/>
      <c r="B32" s="39"/>
      <c r="C32" s="39"/>
      <c r="D32" s="39"/>
      <c r="E32" s="40"/>
      <c r="F32" s="40"/>
      <c r="G32" s="39"/>
      <c r="H32" s="39"/>
      <c r="I32" s="39"/>
      <c r="J32" s="39"/>
      <c r="K32" s="39"/>
      <c r="L32" s="39"/>
    </row>
    <row r="33" spans="1:12" ht="15">
      <c r="A33" s="39"/>
      <c r="B33" s="39"/>
      <c r="C33" s="39"/>
      <c r="D33" s="39"/>
      <c r="E33" s="40"/>
      <c r="F33" s="40"/>
      <c r="G33" s="39"/>
      <c r="H33" s="39"/>
      <c r="I33" s="39"/>
      <c r="J33" s="39"/>
      <c r="K33" s="39"/>
      <c r="L33" s="39"/>
    </row>
    <row r="34" spans="1:12" ht="15">
      <c r="A34" s="39"/>
      <c r="B34" s="39"/>
      <c r="C34" s="39"/>
      <c r="D34" s="39"/>
      <c r="E34" s="40"/>
      <c r="F34" s="40"/>
      <c r="G34" s="39"/>
      <c r="H34" s="39"/>
      <c r="I34" s="39"/>
      <c r="J34" s="39"/>
      <c r="K34" s="39"/>
      <c r="L34" s="39"/>
    </row>
    <row r="35" spans="1:12" ht="15">
      <c r="A35" s="39"/>
      <c r="B35" s="39"/>
      <c r="C35" s="39"/>
      <c r="D35" s="39"/>
      <c r="E35" s="40"/>
      <c r="F35" s="40"/>
      <c r="G35" s="39"/>
      <c r="H35" s="39"/>
      <c r="I35" s="39"/>
      <c r="J35" s="39"/>
      <c r="K35" s="39"/>
      <c r="L35" s="39"/>
    </row>
    <row r="36" spans="1:12" ht="15">
      <c r="A36" s="39"/>
      <c r="B36" s="39"/>
      <c r="C36" s="39"/>
      <c r="D36" s="39"/>
      <c r="E36" s="40"/>
      <c r="F36" s="40"/>
      <c r="G36" s="39"/>
      <c r="H36" s="39"/>
      <c r="I36" s="39"/>
      <c r="J36" s="39"/>
      <c r="K36" s="39"/>
      <c r="L36" s="39"/>
    </row>
    <row r="37" spans="1:12" ht="15">
      <c r="A37" s="39"/>
      <c r="B37" s="39"/>
      <c r="C37" s="39"/>
      <c r="D37" s="39"/>
      <c r="E37" s="40"/>
      <c r="F37" s="40"/>
      <c r="G37" s="39"/>
      <c r="H37" s="39"/>
      <c r="I37" s="39"/>
      <c r="J37" s="39"/>
      <c r="K37" s="39"/>
      <c r="L37" s="39"/>
    </row>
    <row r="38" spans="1:12" ht="15">
      <c r="A38" s="39"/>
      <c r="B38" s="39"/>
      <c r="C38" s="39"/>
      <c r="D38" s="39"/>
      <c r="E38" s="40"/>
      <c r="F38" s="40"/>
      <c r="G38" s="39"/>
      <c r="H38" s="39"/>
      <c r="I38" s="39"/>
      <c r="J38" s="39"/>
      <c r="K38" s="39"/>
      <c r="L38" s="39"/>
    </row>
    <row r="39" spans="1:12" ht="15">
      <c r="A39" s="39"/>
      <c r="B39" s="39"/>
      <c r="C39" s="39"/>
      <c r="D39" s="39"/>
      <c r="E39" s="40"/>
      <c r="F39" s="40"/>
      <c r="G39" s="39"/>
      <c r="H39" s="39"/>
      <c r="I39" s="39"/>
      <c r="J39" s="39"/>
      <c r="K39" s="39"/>
      <c r="L39" s="39"/>
    </row>
    <row r="40" spans="1:12" ht="15">
      <c r="A40" s="39"/>
      <c r="B40" s="39"/>
      <c r="C40" s="39"/>
      <c r="D40" s="39"/>
      <c r="E40" s="40"/>
      <c r="F40" s="40"/>
      <c r="G40" s="39"/>
      <c r="H40" s="39"/>
      <c r="I40" s="39"/>
      <c r="J40" s="39"/>
      <c r="K40" s="39"/>
      <c r="L40" s="39"/>
    </row>
    <row r="41" spans="1:12" ht="15">
      <c r="A41" s="39"/>
      <c r="B41" s="39"/>
      <c r="C41" s="39"/>
      <c r="D41" s="39"/>
      <c r="E41" s="40"/>
      <c r="F41" s="40"/>
      <c r="G41" s="39"/>
      <c r="H41" s="39"/>
      <c r="I41" s="39"/>
      <c r="J41" s="39"/>
      <c r="K41" s="39"/>
      <c r="L41" s="39"/>
    </row>
    <row r="42" spans="1:12" ht="15">
      <c r="A42" s="39"/>
      <c r="B42" s="39"/>
      <c r="C42" s="39"/>
      <c r="D42" s="39"/>
      <c r="E42" s="40"/>
      <c r="F42" s="40"/>
      <c r="G42" s="39"/>
      <c r="H42" s="39"/>
      <c r="I42" s="39"/>
      <c r="J42" s="39"/>
      <c r="K42" s="39"/>
      <c r="L42" s="39"/>
    </row>
    <row r="43" spans="1:12" ht="15">
      <c r="A43" s="39"/>
      <c r="B43" s="39"/>
      <c r="C43" s="39"/>
      <c r="D43" s="39"/>
      <c r="E43" s="40"/>
      <c r="F43" s="40"/>
      <c r="G43" s="39"/>
      <c r="H43" s="39"/>
      <c r="I43" s="39"/>
      <c r="J43" s="39"/>
      <c r="K43" s="39"/>
      <c r="L43" s="39"/>
    </row>
    <row r="44" spans="1:12" ht="15">
      <c r="A44" s="39"/>
      <c r="B44" s="39"/>
      <c r="C44" s="39"/>
      <c r="D44" s="39"/>
      <c r="E44" s="40"/>
      <c r="F44" s="40"/>
      <c r="G44" s="39"/>
      <c r="H44" s="39"/>
      <c r="I44" s="39"/>
      <c r="J44" s="39"/>
      <c r="K44" s="39"/>
      <c r="L44" s="39"/>
    </row>
    <row r="45" spans="1:12" ht="15">
      <c r="A45" s="39"/>
      <c r="B45" s="39"/>
      <c r="D45" s="39"/>
      <c r="E45" s="40"/>
      <c r="F45" s="40"/>
      <c r="G45" s="39"/>
      <c r="H45" s="39"/>
      <c r="I45" s="39"/>
      <c r="J45" s="39"/>
      <c r="K45" s="39"/>
      <c r="L45" s="39"/>
    </row>
    <row r="46" spans="1:12" ht="15">
      <c r="A46" s="39"/>
      <c r="B46" s="39"/>
      <c r="C46" s="39"/>
      <c r="D46" s="39"/>
      <c r="E46" s="40"/>
      <c r="F46" s="40"/>
      <c r="G46" s="39"/>
      <c r="H46" s="39"/>
      <c r="I46" s="39"/>
      <c r="J46" s="39"/>
      <c r="K46" s="39"/>
      <c r="L46" s="39"/>
    </row>
    <row r="47" spans="1:12" ht="15">
      <c r="A47" s="39"/>
      <c r="B47" s="39"/>
      <c r="C47" s="39" t="s">
        <v>844</v>
      </c>
      <c r="D47" s="39"/>
      <c r="E47" s="40"/>
      <c r="F47" s="40"/>
      <c r="G47" s="39"/>
      <c r="H47" s="39"/>
      <c r="I47" s="39"/>
      <c r="J47" s="39"/>
      <c r="K47" s="39"/>
      <c r="L47" s="39"/>
    </row>
    <row r="48" spans="1:12" ht="15">
      <c r="A48" s="39"/>
      <c r="B48" s="39"/>
      <c r="E48" s="40"/>
      <c r="F48" s="40"/>
      <c r="G48" s="39"/>
      <c r="H48" s="39"/>
      <c r="I48" s="39"/>
      <c r="J48" s="39"/>
      <c r="K48" s="39"/>
      <c r="L48" s="39"/>
    </row>
    <row r="49" spans="1:12" ht="15">
      <c r="A49" s="188" t="s">
        <v>410</v>
      </c>
      <c r="B49" s="10"/>
      <c r="C49" s="39"/>
      <c r="D49" s="39"/>
      <c r="E49" s="40"/>
      <c r="F49" s="40"/>
      <c r="G49" s="39"/>
      <c r="H49" s="39"/>
      <c r="I49" s="39"/>
      <c r="J49" s="39"/>
      <c r="K49" s="39"/>
      <c r="L49" s="39"/>
    </row>
    <row r="50" spans="1:12" ht="15">
      <c r="A50" s="185" t="s">
        <v>179</v>
      </c>
      <c r="B50" s="185"/>
      <c r="C50" s="39"/>
      <c r="D50" s="39"/>
      <c r="E50" s="40"/>
      <c r="F50" s="40"/>
      <c r="G50" s="39"/>
      <c r="H50" s="39"/>
      <c r="I50" s="39"/>
      <c r="J50" s="39"/>
      <c r="K50" s="39"/>
      <c r="L50" s="39"/>
    </row>
    <row r="51" spans="1:12" ht="15">
      <c r="A51" s="186" t="s">
        <v>180</v>
      </c>
      <c r="B51" s="187"/>
      <c r="C51" s="39"/>
      <c r="D51" s="39"/>
      <c r="E51" s="40"/>
      <c r="F51" s="40"/>
      <c r="G51" s="39"/>
      <c r="H51" s="39"/>
      <c r="I51" s="39"/>
      <c r="J51" s="39"/>
      <c r="K51" s="39"/>
      <c r="L51" s="39"/>
    </row>
    <row r="52" spans="1:12" ht="48" customHeight="1">
      <c r="A52" s="798" t="s">
        <v>181</v>
      </c>
      <c r="B52" s="798"/>
      <c r="C52" s="798"/>
      <c r="D52" s="798"/>
      <c r="E52" s="798"/>
      <c r="F52" s="798"/>
      <c r="G52" s="39"/>
      <c r="H52" s="39"/>
      <c r="I52" s="39"/>
      <c r="J52" s="39"/>
      <c r="K52" s="39"/>
      <c r="L52" s="39"/>
    </row>
    <row r="53" spans="1:12" ht="49.5" customHeight="1">
      <c r="A53" s="797" t="s">
        <v>182</v>
      </c>
      <c r="B53" s="797"/>
      <c r="C53" s="797"/>
      <c r="D53" s="797"/>
      <c r="E53" s="797"/>
      <c r="F53" s="797"/>
      <c r="G53" s="39"/>
      <c r="H53" s="39"/>
      <c r="I53" s="39"/>
      <c r="J53" s="39"/>
      <c r="K53" s="39"/>
      <c r="L53" s="39"/>
    </row>
    <row r="54" spans="1:12" ht="29.25" customHeight="1">
      <c r="A54" s="797" t="s">
        <v>183</v>
      </c>
      <c r="B54" s="797"/>
      <c r="C54" s="797"/>
      <c r="D54" s="797"/>
      <c r="E54" s="797"/>
      <c r="F54" s="797"/>
      <c r="G54" s="39"/>
      <c r="H54" s="39"/>
      <c r="I54" s="39"/>
      <c r="J54" s="39"/>
      <c r="K54" s="39"/>
      <c r="L54" s="39"/>
    </row>
    <row r="55" spans="1:12" ht="25.5" customHeight="1">
      <c r="A55" s="797" t="s">
        <v>184</v>
      </c>
      <c r="B55" s="797"/>
      <c r="C55" s="797"/>
      <c r="D55" s="797"/>
      <c r="E55" s="797"/>
      <c r="F55" s="797"/>
      <c r="G55" s="39"/>
      <c r="H55" s="39"/>
      <c r="I55" s="39"/>
      <c r="J55" s="39"/>
      <c r="K55" s="39"/>
      <c r="L55" s="39"/>
    </row>
    <row r="56" spans="1:12" ht="42.75" customHeight="1">
      <c r="A56" s="797" t="s">
        <v>185</v>
      </c>
      <c r="B56" s="797"/>
      <c r="C56" s="797"/>
      <c r="D56" s="797"/>
      <c r="E56" s="797"/>
      <c r="F56" s="797"/>
      <c r="G56" s="39"/>
      <c r="H56" s="39"/>
      <c r="I56" s="39"/>
      <c r="J56" s="39"/>
      <c r="K56" s="39"/>
      <c r="L56" s="39"/>
    </row>
    <row r="57" spans="7:12" ht="8.25" customHeight="1">
      <c r="G57" s="39"/>
      <c r="H57" s="39"/>
      <c r="I57" s="39"/>
      <c r="J57" s="39"/>
      <c r="K57" s="39"/>
      <c r="L57" s="39"/>
    </row>
    <row r="58" spans="1:12" ht="15">
      <c r="A58" s="186" t="s">
        <v>186</v>
      </c>
      <c r="B58" s="187"/>
      <c r="C58" s="39"/>
      <c r="D58" s="39"/>
      <c r="E58" s="40"/>
      <c r="F58" s="40"/>
      <c r="G58" s="39"/>
      <c r="H58" s="39"/>
      <c r="I58" s="39"/>
      <c r="J58" s="39"/>
      <c r="K58" s="39"/>
      <c r="L58" s="39"/>
    </row>
    <row r="59" spans="1:12" ht="45.75" customHeight="1">
      <c r="A59" s="797" t="s">
        <v>187</v>
      </c>
      <c r="B59" s="797"/>
      <c r="C59" s="797"/>
      <c r="D59" s="797"/>
      <c r="E59" s="797"/>
      <c r="F59" s="797"/>
      <c r="G59" s="39"/>
      <c r="H59" s="39"/>
      <c r="I59" s="39"/>
      <c r="J59" s="39"/>
      <c r="K59" s="39"/>
      <c r="L59" s="39"/>
    </row>
    <row r="60" spans="1:12" ht="16.5" customHeight="1">
      <c r="A60" s="797" t="s">
        <v>188</v>
      </c>
      <c r="B60" s="797"/>
      <c r="C60" s="797"/>
      <c r="D60" s="797"/>
      <c r="E60" s="797"/>
      <c r="F60" s="797"/>
      <c r="G60" s="39"/>
      <c r="H60" s="39"/>
      <c r="I60" s="39"/>
      <c r="J60" s="39"/>
      <c r="K60" s="39"/>
      <c r="L60" s="39"/>
    </row>
    <row r="61" spans="1:12" ht="15.75" customHeight="1">
      <c r="A61" s="799" t="s">
        <v>401</v>
      </c>
      <c r="B61" s="799"/>
      <c r="C61" s="799"/>
      <c r="D61" s="799"/>
      <c r="E61" s="799"/>
      <c r="F61" s="799"/>
      <c r="G61" s="39"/>
      <c r="H61" s="39"/>
      <c r="I61" s="39"/>
      <c r="J61" s="39"/>
      <c r="K61" s="39"/>
      <c r="L61" s="39"/>
    </row>
    <row r="62" spans="1:12" ht="15">
      <c r="A62" s="799" t="s">
        <v>402</v>
      </c>
      <c r="B62" s="799"/>
      <c r="C62" s="799"/>
      <c r="D62" s="799"/>
      <c r="E62" s="799"/>
      <c r="F62" s="799"/>
      <c r="G62" s="39"/>
      <c r="H62" s="39"/>
      <c r="I62" s="39"/>
      <c r="J62" s="39"/>
      <c r="K62" s="39"/>
      <c r="L62" s="39"/>
    </row>
    <row r="63" spans="1:12" ht="15">
      <c r="A63" s="799" t="s">
        <v>403</v>
      </c>
      <c r="B63" s="799"/>
      <c r="C63" s="799"/>
      <c r="D63" s="799"/>
      <c r="E63" s="799"/>
      <c r="F63" s="799"/>
      <c r="G63" s="39"/>
      <c r="H63" s="39"/>
      <c r="I63" s="39"/>
      <c r="J63" s="39"/>
      <c r="K63" s="39"/>
      <c r="L63" s="39"/>
    </row>
    <row r="64" spans="1:12" ht="36" customHeight="1">
      <c r="A64" s="797" t="s">
        <v>427</v>
      </c>
      <c r="B64" s="797"/>
      <c r="C64" s="797"/>
      <c r="D64" s="797"/>
      <c r="E64" s="797"/>
      <c r="F64" s="797"/>
      <c r="G64" s="39"/>
      <c r="H64" s="39"/>
      <c r="I64" s="39"/>
      <c r="J64" s="39"/>
      <c r="K64" s="39"/>
      <c r="L64" s="39"/>
    </row>
    <row r="65" spans="1:12" ht="15">
      <c r="A65" s="797"/>
      <c r="B65" s="797"/>
      <c r="C65" s="797"/>
      <c r="D65" s="797"/>
      <c r="E65" s="797"/>
      <c r="F65" s="797"/>
      <c r="G65" s="39"/>
      <c r="H65" s="39"/>
      <c r="I65" s="39"/>
      <c r="J65" s="39"/>
      <c r="K65" s="39"/>
      <c r="L65" s="39"/>
    </row>
    <row r="66" spans="1:12" ht="32.25" customHeight="1">
      <c r="A66" s="797" t="s">
        <v>189</v>
      </c>
      <c r="B66" s="797"/>
      <c r="C66" s="797"/>
      <c r="D66" s="797"/>
      <c r="E66" s="797"/>
      <c r="F66" s="797"/>
      <c r="G66" s="39"/>
      <c r="H66" s="39"/>
      <c r="I66" s="39"/>
      <c r="J66" s="39"/>
      <c r="K66" s="39"/>
      <c r="L66" s="39"/>
    </row>
    <row r="67" spans="1:12" ht="15">
      <c r="A67" s="797" t="s">
        <v>188</v>
      </c>
      <c r="B67" s="797"/>
      <c r="C67" s="797"/>
      <c r="D67" s="797"/>
      <c r="E67" s="797"/>
      <c r="F67" s="797"/>
      <c r="G67" s="39"/>
      <c r="H67" s="39"/>
      <c r="I67" s="39"/>
      <c r="J67" s="39"/>
      <c r="K67" s="39"/>
      <c r="L67" s="39"/>
    </row>
    <row r="68" spans="1:12" ht="15">
      <c r="A68" s="799" t="s">
        <v>404</v>
      </c>
      <c r="B68" s="799"/>
      <c r="C68" s="799"/>
      <c r="D68" s="799"/>
      <c r="E68" s="799"/>
      <c r="F68" s="799"/>
      <c r="G68" s="39"/>
      <c r="H68" s="39"/>
      <c r="I68" s="39"/>
      <c r="J68" s="39"/>
      <c r="K68" s="39"/>
      <c r="L68" s="39"/>
    </row>
    <row r="69" spans="1:12" ht="15">
      <c r="A69" s="799" t="s">
        <v>405</v>
      </c>
      <c r="B69" s="799"/>
      <c r="C69" s="799"/>
      <c r="D69" s="799"/>
      <c r="E69" s="799"/>
      <c r="F69" s="799"/>
      <c r="G69" s="39"/>
      <c r="H69" s="39"/>
      <c r="I69" s="39"/>
      <c r="J69" s="39"/>
      <c r="K69" s="39"/>
      <c r="L69" s="39"/>
    </row>
    <row r="70" spans="1:12" ht="15">
      <c r="A70" s="799" t="s">
        <v>406</v>
      </c>
      <c r="B70" s="799"/>
      <c r="C70" s="799"/>
      <c r="D70" s="799"/>
      <c r="E70" s="799"/>
      <c r="F70" s="799"/>
      <c r="G70" s="39"/>
      <c r="H70" s="39"/>
      <c r="I70" s="39"/>
      <c r="J70" s="39"/>
      <c r="K70" s="39"/>
      <c r="L70" s="39"/>
    </row>
    <row r="71" spans="1:12" ht="30.75" customHeight="1">
      <c r="A71" s="797" t="s">
        <v>428</v>
      </c>
      <c r="B71" s="797"/>
      <c r="C71" s="797"/>
      <c r="D71" s="797"/>
      <c r="E71" s="797"/>
      <c r="F71" s="797"/>
      <c r="G71" s="39"/>
      <c r="H71" s="39"/>
      <c r="I71" s="39"/>
      <c r="J71" s="39"/>
      <c r="K71" s="39"/>
      <c r="L71" s="39"/>
    </row>
    <row r="72" spans="1:12" ht="24" customHeight="1">
      <c r="A72" s="797" t="s">
        <v>845</v>
      </c>
      <c r="B72" s="797"/>
      <c r="C72" s="797"/>
      <c r="D72" s="797"/>
      <c r="E72" s="797"/>
      <c r="F72" s="797"/>
      <c r="G72" s="39"/>
      <c r="H72" s="39"/>
      <c r="I72" s="39"/>
      <c r="J72" s="39"/>
      <c r="K72" s="39"/>
      <c r="L72" s="39"/>
    </row>
    <row r="73" spans="1:12" ht="20.25" customHeight="1">
      <c r="A73" s="186" t="s">
        <v>190</v>
      </c>
      <c r="B73" s="187"/>
      <c r="C73" s="39"/>
      <c r="D73" s="39"/>
      <c r="E73" s="40"/>
      <c r="F73" s="40"/>
      <c r="G73" s="39"/>
      <c r="H73" s="39"/>
      <c r="I73" s="39"/>
      <c r="J73" s="39"/>
      <c r="K73" s="39"/>
      <c r="L73" s="39"/>
    </row>
    <row r="74" spans="1:12" ht="15">
      <c r="A74" s="802" t="s">
        <v>191</v>
      </c>
      <c r="B74" s="802"/>
      <c r="C74" s="802"/>
      <c r="D74" s="802"/>
      <c r="E74" s="802"/>
      <c r="F74" s="802"/>
      <c r="G74" s="39"/>
      <c r="H74" s="39"/>
      <c r="I74" s="39"/>
      <c r="J74" s="39"/>
      <c r="K74" s="39"/>
      <c r="L74" s="39"/>
    </row>
    <row r="75" spans="1:12" ht="45" customHeight="1">
      <c r="A75" s="803" t="s">
        <v>407</v>
      </c>
      <c r="B75" s="803"/>
      <c r="C75" s="803"/>
      <c r="D75" s="803"/>
      <c r="E75" s="803"/>
      <c r="F75" s="803"/>
      <c r="G75" s="39"/>
      <c r="H75" s="39"/>
      <c r="I75" s="39"/>
      <c r="J75" s="39"/>
      <c r="K75" s="39"/>
      <c r="L75" s="39"/>
    </row>
    <row r="76" spans="1:12" ht="40.5" customHeight="1">
      <c r="A76" s="803" t="s">
        <v>408</v>
      </c>
      <c r="B76" s="803"/>
      <c r="C76" s="803"/>
      <c r="D76" s="803"/>
      <c r="E76" s="803"/>
      <c r="F76" s="803"/>
      <c r="G76" s="39"/>
      <c r="H76" s="39"/>
      <c r="I76" s="39"/>
      <c r="J76" s="39"/>
      <c r="K76" s="39"/>
      <c r="L76" s="39"/>
    </row>
    <row r="77" spans="1:12" ht="45" customHeight="1">
      <c r="A77" s="803" t="s">
        <v>409</v>
      </c>
      <c r="B77" s="803"/>
      <c r="C77" s="803"/>
      <c r="D77" s="803"/>
      <c r="E77" s="803"/>
      <c r="F77" s="803"/>
      <c r="G77" s="39"/>
      <c r="H77" s="39"/>
      <c r="I77" s="39"/>
      <c r="J77" s="39"/>
      <c r="K77" s="39"/>
      <c r="L77" s="39"/>
    </row>
    <row r="78" spans="1:12" ht="15">
      <c r="A78" s="185" t="s">
        <v>192</v>
      </c>
      <c r="B78" s="185"/>
      <c r="C78" s="39"/>
      <c r="D78" s="39"/>
      <c r="E78" s="40"/>
      <c r="F78" s="40"/>
      <c r="G78" s="39"/>
      <c r="H78" s="39"/>
      <c r="I78" s="39"/>
      <c r="J78" s="39"/>
      <c r="K78" s="39"/>
      <c r="L78" s="39"/>
    </row>
    <row r="79" spans="1:12" ht="58.5" customHeight="1">
      <c r="A79" s="801" t="s">
        <v>193</v>
      </c>
      <c r="B79" s="801"/>
      <c r="C79" s="801"/>
      <c r="D79" s="801"/>
      <c r="E79" s="801"/>
      <c r="F79" s="801"/>
      <c r="G79" s="39"/>
      <c r="H79" s="39"/>
      <c r="I79" s="39"/>
      <c r="J79" s="39"/>
      <c r="K79" s="39"/>
      <c r="L79" s="39"/>
    </row>
    <row r="80" spans="1:12" ht="15">
      <c r="A80" s="188" t="s">
        <v>411</v>
      </c>
      <c r="B80" s="10"/>
      <c r="C80" s="39"/>
      <c r="D80" s="39"/>
      <c r="E80" s="40"/>
      <c r="F80" s="40"/>
      <c r="G80" s="39"/>
      <c r="H80" s="39"/>
      <c r="I80" s="39"/>
      <c r="J80" s="39"/>
      <c r="K80" s="39"/>
      <c r="L80" s="39"/>
    </row>
    <row r="81" spans="1:12" ht="15">
      <c r="A81" s="185" t="s">
        <v>194</v>
      </c>
      <c r="B81" s="185"/>
      <c r="C81" s="39"/>
      <c r="D81" s="39"/>
      <c r="E81" s="40"/>
      <c r="F81" s="40"/>
      <c r="G81" s="39"/>
      <c r="H81" s="39"/>
      <c r="I81" s="39"/>
      <c r="J81" s="39"/>
      <c r="K81" s="39"/>
      <c r="L81" s="39"/>
    </row>
    <row r="82" spans="1:12" ht="59.25" customHeight="1">
      <c r="A82" s="801" t="s">
        <v>195</v>
      </c>
      <c r="B82" s="801"/>
      <c r="C82" s="801"/>
      <c r="D82" s="801"/>
      <c r="E82" s="801"/>
      <c r="F82" s="801"/>
      <c r="G82" s="39"/>
      <c r="H82" s="39"/>
      <c r="I82" s="39"/>
      <c r="J82" s="39"/>
      <c r="K82" s="39"/>
      <c r="L82" s="39"/>
    </row>
    <row r="83" spans="1:12" ht="15">
      <c r="A83" s="185" t="s">
        <v>196</v>
      </c>
      <c r="B83" s="185"/>
      <c r="C83" s="39"/>
      <c r="D83" s="39"/>
      <c r="E83" s="40"/>
      <c r="F83" s="40"/>
      <c r="G83" s="39"/>
      <c r="H83" s="39"/>
      <c r="I83" s="39"/>
      <c r="J83" s="39"/>
      <c r="K83" s="39"/>
      <c r="L83" s="39"/>
    </row>
    <row r="84" spans="1:12" ht="28.5" customHeight="1">
      <c r="A84" s="798" t="s">
        <v>197</v>
      </c>
      <c r="B84" s="798"/>
      <c r="C84" s="798"/>
      <c r="D84" s="798"/>
      <c r="E84" s="798"/>
      <c r="F84" s="798"/>
      <c r="G84" s="39"/>
      <c r="H84" s="39"/>
      <c r="I84" s="39"/>
      <c r="J84" s="39"/>
      <c r="K84" s="39"/>
      <c r="L84" s="39"/>
    </row>
    <row r="85" spans="1:12" ht="15" hidden="1">
      <c r="A85" s="39"/>
      <c r="B85" s="39"/>
      <c r="C85" s="39"/>
      <c r="D85" s="39"/>
      <c r="E85" s="40"/>
      <c r="F85" s="40"/>
      <c r="G85" s="39"/>
      <c r="H85" s="39"/>
      <c r="I85" s="39"/>
      <c r="J85" s="39"/>
      <c r="K85" s="39"/>
      <c r="L85" s="39"/>
    </row>
    <row r="86" spans="1:12" ht="15" hidden="1">
      <c r="A86" s="43" t="s">
        <v>198</v>
      </c>
      <c r="B86" s="43"/>
      <c r="C86" s="39"/>
      <c r="D86" s="39"/>
      <c r="E86" s="40"/>
      <c r="F86" s="40"/>
      <c r="G86" s="39"/>
      <c r="H86" s="39"/>
      <c r="I86" s="39"/>
      <c r="J86" s="39"/>
      <c r="K86" s="39"/>
      <c r="L86" s="39"/>
    </row>
    <row r="87" spans="1:12" ht="33.75" customHeight="1">
      <c r="A87" s="799" t="s">
        <v>415</v>
      </c>
      <c r="B87" s="799"/>
      <c r="C87" s="799"/>
      <c r="D87" s="799"/>
      <c r="E87" s="799"/>
      <c r="F87" s="799"/>
      <c r="G87" s="39"/>
      <c r="H87" s="39"/>
      <c r="I87" s="39"/>
      <c r="J87" s="39"/>
      <c r="K87" s="39"/>
      <c r="L87" s="39"/>
    </row>
    <row r="88" spans="1:12" ht="30" customHeight="1">
      <c r="A88" s="799" t="s">
        <v>416</v>
      </c>
      <c r="B88" s="799"/>
      <c r="C88" s="799"/>
      <c r="D88" s="799"/>
      <c r="E88" s="799"/>
      <c r="F88" s="799"/>
      <c r="G88" s="39"/>
      <c r="H88" s="39"/>
      <c r="I88" s="39"/>
      <c r="J88" s="39"/>
      <c r="K88" s="39"/>
      <c r="L88" s="39"/>
    </row>
    <row r="89" spans="1:12" ht="27.75" customHeight="1">
      <c r="A89" s="799" t="s">
        <v>417</v>
      </c>
      <c r="B89" s="799"/>
      <c r="C89" s="799"/>
      <c r="D89" s="799"/>
      <c r="E89" s="799"/>
      <c r="F89" s="799"/>
      <c r="G89" s="39"/>
      <c r="H89" s="39"/>
      <c r="I89" s="39"/>
      <c r="J89" s="39"/>
      <c r="K89" s="39"/>
      <c r="L89" s="39"/>
    </row>
    <row r="90" spans="1:12" ht="27" customHeight="1">
      <c r="A90" s="799" t="s">
        <v>418</v>
      </c>
      <c r="B90" s="799"/>
      <c r="C90" s="799"/>
      <c r="D90" s="799"/>
      <c r="E90" s="799"/>
      <c r="F90" s="799"/>
      <c r="G90" s="39"/>
      <c r="H90" s="39"/>
      <c r="I90" s="39"/>
      <c r="J90" s="39"/>
      <c r="K90" s="39"/>
      <c r="L90" s="39"/>
    </row>
    <row r="91" spans="1:12" ht="27.75" customHeight="1">
      <c r="A91" s="797" t="s">
        <v>199</v>
      </c>
      <c r="B91" s="797"/>
      <c r="C91" s="797"/>
      <c r="D91" s="797"/>
      <c r="E91" s="797"/>
      <c r="F91" s="797"/>
      <c r="G91" s="39"/>
      <c r="H91" s="39"/>
      <c r="I91" s="39"/>
      <c r="J91" s="39"/>
      <c r="K91" s="39"/>
      <c r="L91" s="39"/>
    </row>
    <row r="92" spans="1:12" ht="69.75" customHeight="1">
      <c r="A92" s="798" t="s">
        <v>200</v>
      </c>
      <c r="B92" s="798"/>
      <c r="C92" s="798"/>
      <c r="D92" s="798"/>
      <c r="E92" s="798"/>
      <c r="F92" s="798"/>
      <c r="G92" s="39"/>
      <c r="H92" s="39"/>
      <c r="I92" s="39"/>
      <c r="J92" s="39"/>
      <c r="K92" s="39"/>
      <c r="L92" s="39"/>
    </row>
    <row r="93" spans="1:12" ht="15">
      <c r="A93" s="185" t="s">
        <v>201</v>
      </c>
      <c r="B93" s="185"/>
      <c r="C93" s="39"/>
      <c r="D93" s="39"/>
      <c r="E93" s="40"/>
      <c r="F93" s="40"/>
      <c r="G93" s="39"/>
      <c r="H93" s="39"/>
      <c r="I93" s="39"/>
      <c r="J93" s="39"/>
      <c r="K93" s="39"/>
      <c r="L93" s="39"/>
    </row>
    <row r="94" spans="1:12" ht="56.25" customHeight="1">
      <c r="A94" s="797" t="s">
        <v>202</v>
      </c>
      <c r="B94" s="797"/>
      <c r="C94" s="797"/>
      <c r="D94" s="797"/>
      <c r="E94" s="797"/>
      <c r="F94" s="797"/>
      <c r="G94" s="39"/>
      <c r="H94" s="39"/>
      <c r="I94" s="39"/>
      <c r="J94" s="39"/>
      <c r="K94" s="39"/>
      <c r="L94" s="39"/>
    </row>
    <row r="95" spans="1:12" ht="32.25" customHeight="1">
      <c r="A95" s="797" t="s">
        <v>203</v>
      </c>
      <c r="B95" s="797"/>
      <c r="C95" s="797"/>
      <c r="D95" s="797"/>
      <c r="E95" s="797"/>
      <c r="F95" s="797"/>
      <c r="G95" s="39"/>
      <c r="H95" s="39"/>
      <c r="I95" s="39"/>
      <c r="J95" s="39"/>
      <c r="K95" s="39"/>
      <c r="L95" s="39"/>
    </row>
    <row r="96" spans="1:12" ht="27.75" customHeight="1">
      <c r="A96" s="797" t="s">
        <v>204</v>
      </c>
      <c r="B96" s="797"/>
      <c r="C96" s="797"/>
      <c r="D96" s="797"/>
      <c r="E96" s="797"/>
      <c r="F96" s="797"/>
      <c r="G96" s="39"/>
      <c r="H96" s="39"/>
      <c r="I96" s="39"/>
      <c r="J96" s="39"/>
      <c r="K96" s="39"/>
      <c r="L96" s="39"/>
    </row>
    <row r="97" spans="1:12" ht="15">
      <c r="A97" s="185" t="s">
        <v>205</v>
      </c>
      <c r="B97" s="185"/>
      <c r="C97" s="39"/>
      <c r="D97" s="39"/>
      <c r="E97" s="40"/>
      <c r="F97" s="40"/>
      <c r="G97" s="39"/>
      <c r="H97" s="39"/>
      <c r="I97" s="39"/>
      <c r="J97" s="39"/>
      <c r="K97" s="39"/>
      <c r="L97" s="39"/>
    </row>
    <row r="98" spans="1:12" ht="52.5" customHeight="1">
      <c r="A98" s="797" t="s">
        <v>206</v>
      </c>
      <c r="B98" s="797"/>
      <c r="C98" s="797"/>
      <c r="D98" s="797"/>
      <c r="E98" s="797"/>
      <c r="F98" s="797"/>
      <c r="G98" s="39"/>
      <c r="H98" s="39"/>
      <c r="I98" s="39"/>
      <c r="J98" s="39"/>
      <c r="K98" s="39"/>
      <c r="L98" s="39"/>
    </row>
    <row r="99" spans="1:12" ht="15">
      <c r="A99" s="185" t="s">
        <v>207</v>
      </c>
      <c r="B99" s="185"/>
      <c r="C99" s="39"/>
      <c r="D99" s="39"/>
      <c r="E99" s="40"/>
      <c r="F99" s="40"/>
      <c r="G99" s="39"/>
      <c r="H99" s="39"/>
      <c r="I99" s="39"/>
      <c r="J99" s="39"/>
      <c r="K99" s="39"/>
      <c r="L99" s="39"/>
    </row>
    <row r="100" spans="1:12" ht="53.25" customHeight="1">
      <c r="A100" s="797" t="s">
        <v>208</v>
      </c>
      <c r="B100" s="797"/>
      <c r="C100" s="797"/>
      <c r="D100" s="797"/>
      <c r="E100" s="797"/>
      <c r="F100" s="797"/>
      <c r="G100" s="39"/>
      <c r="H100" s="39"/>
      <c r="I100" s="39"/>
      <c r="J100" s="39"/>
      <c r="K100" s="39"/>
      <c r="L100" s="39"/>
    </row>
    <row r="101" spans="1:12" ht="43.5" customHeight="1">
      <c r="A101" s="797" t="s">
        <v>209</v>
      </c>
      <c r="B101" s="797"/>
      <c r="C101" s="797"/>
      <c r="D101" s="797"/>
      <c r="E101" s="797"/>
      <c r="F101" s="797"/>
      <c r="G101" s="39"/>
      <c r="H101" s="39"/>
      <c r="I101" s="39"/>
      <c r="J101" s="39"/>
      <c r="K101" s="39"/>
      <c r="L101" s="39"/>
    </row>
    <row r="102" spans="1:12" ht="54" customHeight="1">
      <c r="A102" s="797" t="s">
        <v>210</v>
      </c>
      <c r="B102" s="797"/>
      <c r="C102" s="797"/>
      <c r="D102" s="797"/>
      <c r="E102" s="797"/>
      <c r="F102" s="797"/>
      <c r="G102" s="39"/>
      <c r="H102" s="39"/>
      <c r="I102" s="39"/>
      <c r="J102" s="39"/>
      <c r="K102" s="39"/>
      <c r="L102" s="39"/>
    </row>
    <row r="103" spans="1:12" ht="15">
      <c r="A103" s="39"/>
      <c r="B103" s="39"/>
      <c r="C103" s="39"/>
      <c r="D103" s="39"/>
      <c r="E103" s="40"/>
      <c r="F103" s="40"/>
      <c r="G103" s="39"/>
      <c r="H103" s="39"/>
      <c r="I103" s="39"/>
      <c r="J103" s="39"/>
      <c r="K103" s="39"/>
      <c r="L103" s="39"/>
    </row>
    <row r="104" spans="1:12" ht="15">
      <c r="A104" s="189" t="s">
        <v>412</v>
      </c>
      <c r="B104" s="10"/>
      <c r="C104" s="10"/>
      <c r="D104" s="10"/>
      <c r="E104" s="10"/>
      <c r="F104" s="40"/>
      <c r="G104" s="39"/>
      <c r="H104" s="39"/>
      <c r="I104" s="39"/>
      <c r="J104" s="39"/>
      <c r="K104" s="39"/>
      <c r="L104" s="39"/>
    </row>
    <row r="105" spans="1:12" ht="32.25" customHeight="1">
      <c r="A105" s="800" t="s">
        <v>211</v>
      </c>
      <c r="B105" s="800"/>
      <c r="C105" s="800"/>
      <c r="D105" s="800"/>
      <c r="E105" s="800"/>
      <c r="F105" s="800"/>
      <c r="G105" s="39"/>
      <c r="H105" s="39"/>
      <c r="I105" s="39"/>
      <c r="J105" s="39"/>
      <c r="K105" s="39"/>
      <c r="L105" s="39"/>
    </row>
    <row r="106" spans="1:12" ht="15">
      <c r="A106" s="185" t="s">
        <v>212</v>
      </c>
      <c r="B106" s="185"/>
      <c r="C106" s="187"/>
      <c r="D106" s="187"/>
      <c r="E106" s="187"/>
      <c r="F106" s="40"/>
      <c r="G106" s="39"/>
      <c r="H106" s="39"/>
      <c r="I106" s="39"/>
      <c r="J106" s="39"/>
      <c r="K106" s="39"/>
      <c r="L106" s="39"/>
    </row>
    <row r="107" spans="1:12" ht="15">
      <c r="A107" s="190" t="s">
        <v>213</v>
      </c>
      <c r="B107" s="187"/>
      <c r="C107" s="187"/>
      <c r="D107" s="187"/>
      <c r="E107" s="187"/>
      <c r="F107" s="40"/>
      <c r="G107" s="39"/>
      <c r="H107" s="39"/>
      <c r="I107" s="39"/>
      <c r="J107" s="39"/>
      <c r="K107" s="39"/>
      <c r="L107" s="39"/>
    </row>
    <row r="108" spans="1:12" ht="132" customHeight="1">
      <c r="A108" s="801" t="s">
        <v>214</v>
      </c>
      <c r="B108" s="801"/>
      <c r="C108" s="801"/>
      <c r="D108" s="801"/>
      <c r="E108" s="801"/>
      <c r="F108" s="801"/>
      <c r="G108" s="39"/>
      <c r="H108" s="39"/>
      <c r="I108" s="39"/>
      <c r="J108" s="39"/>
      <c r="K108" s="39"/>
      <c r="L108" s="39"/>
    </row>
    <row r="109" spans="1:12" ht="15">
      <c r="A109" s="191"/>
      <c r="B109" s="187"/>
      <c r="C109" s="187"/>
      <c r="D109" s="187"/>
      <c r="E109" s="187"/>
      <c r="F109" s="40"/>
      <c r="G109" s="39"/>
      <c r="H109" s="39"/>
      <c r="I109" s="39"/>
      <c r="J109" s="39"/>
      <c r="K109" s="39"/>
      <c r="L109" s="39"/>
    </row>
    <row r="110" spans="1:12" ht="15.75" thickBot="1">
      <c r="A110" s="192"/>
      <c r="B110" s="39"/>
      <c r="C110" s="193"/>
      <c r="D110" s="39"/>
      <c r="E110" s="194"/>
      <c r="F110" s="194"/>
      <c r="G110" s="39"/>
      <c r="H110" s="39"/>
      <c r="I110" s="39"/>
      <c r="J110" s="39"/>
      <c r="K110" s="39"/>
      <c r="L110" s="39"/>
    </row>
    <row r="111" spans="1:12" ht="15.75" thickBot="1">
      <c r="A111" s="192"/>
      <c r="B111" s="39"/>
      <c r="C111" s="39"/>
      <c r="D111" s="39"/>
      <c r="E111" s="603" t="s">
        <v>874</v>
      </c>
      <c r="F111" s="195" t="s">
        <v>875</v>
      </c>
      <c r="G111" s="39"/>
      <c r="H111" s="39"/>
      <c r="I111" s="39"/>
      <c r="J111" s="39"/>
      <c r="K111" s="39"/>
      <c r="L111" s="39"/>
    </row>
    <row r="112" spans="1:12" ht="15">
      <c r="A112" s="196" t="s">
        <v>215</v>
      </c>
      <c r="B112" s="39"/>
      <c r="C112" s="39"/>
      <c r="D112" s="39"/>
      <c r="E112" s="604">
        <v>249.92</v>
      </c>
      <c r="F112" s="318">
        <v>197.9</v>
      </c>
      <c r="G112" s="39"/>
      <c r="H112" s="39"/>
      <c r="I112" s="39"/>
      <c r="J112" s="39"/>
      <c r="K112" s="39"/>
      <c r="L112" s="39"/>
    </row>
    <row r="113" spans="1:12" ht="15.75" thickBot="1">
      <c r="A113" s="196" t="s">
        <v>216</v>
      </c>
      <c r="B113" s="39"/>
      <c r="C113" s="39"/>
      <c r="D113" s="39"/>
      <c r="E113" s="605">
        <v>183.51</v>
      </c>
      <c r="F113" s="197">
        <v>151.65</v>
      </c>
      <c r="G113" s="39"/>
      <c r="H113" s="39"/>
      <c r="I113" s="39"/>
      <c r="J113" s="39"/>
      <c r="K113" s="39"/>
      <c r="L113" s="39"/>
    </row>
    <row r="114" spans="1:12" ht="15">
      <c r="A114" s="196"/>
      <c r="B114" s="39"/>
      <c r="C114" s="39"/>
      <c r="D114" s="39"/>
      <c r="E114" s="198"/>
      <c r="F114" s="199"/>
      <c r="G114" s="39"/>
      <c r="H114" s="39"/>
      <c r="I114" s="39"/>
      <c r="J114" s="39"/>
      <c r="K114" s="39"/>
      <c r="L114" s="39"/>
    </row>
    <row r="115" spans="1:12" ht="15" hidden="1">
      <c r="A115" s="189" t="s">
        <v>413</v>
      </c>
      <c r="B115" s="39"/>
      <c r="C115" s="39"/>
      <c r="D115" s="39"/>
      <c r="E115" s="49"/>
      <c r="F115" s="48"/>
      <c r="G115" s="39"/>
      <c r="H115" s="39"/>
      <c r="I115" s="39"/>
      <c r="J115" s="39"/>
      <c r="K115" s="39"/>
      <c r="L115" s="39"/>
    </row>
    <row r="116" spans="1:12" ht="15" hidden="1">
      <c r="A116" s="45"/>
      <c r="B116" s="39"/>
      <c r="C116" s="39"/>
      <c r="D116" s="39"/>
      <c r="E116" s="49"/>
      <c r="F116" s="48"/>
      <c r="G116" s="39"/>
      <c r="H116" s="39"/>
      <c r="I116" s="39"/>
      <c r="J116" s="39"/>
      <c r="K116" s="39"/>
      <c r="L116" s="39"/>
    </row>
    <row r="117" spans="1:12" ht="15">
      <c r="A117" s="185" t="s">
        <v>217</v>
      </c>
      <c r="B117" s="185"/>
      <c r="C117" s="187"/>
      <c r="D117" s="187"/>
      <c r="E117" s="187"/>
      <c r="F117" s="40"/>
      <c r="G117" s="39"/>
      <c r="H117" s="39"/>
      <c r="I117" s="39"/>
      <c r="J117" s="39"/>
      <c r="K117" s="39"/>
      <c r="L117" s="39"/>
    </row>
    <row r="118" spans="1:12" ht="15">
      <c r="A118" s="190" t="s">
        <v>218</v>
      </c>
      <c r="B118" s="187"/>
      <c r="C118" s="187"/>
      <c r="D118" s="187"/>
      <c r="E118" s="187"/>
      <c r="F118" s="40"/>
      <c r="G118" s="39"/>
      <c r="H118" s="39"/>
      <c r="I118" s="39"/>
      <c r="J118" s="39"/>
      <c r="K118" s="39"/>
      <c r="L118" s="39"/>
    </row>
    <row r="119" spans="1:12" ht="82.5" customHeight="1">
      <c r="A119" s="797" t="s">
        <v>219</v>
      </c>
      <c r="B119" s="797"/>
      <c r="C119" s="797"/>
      <c r="D119" s="797"/>
      <c r="E119" s="797"/>
      <c r="F119" s="797"/>
      <c r="G119" s="39"/>
      <c r="H119" s="39"/>
      <c r="I119" s="39"/>
      <c r="J119" s="39"/>
      <c r="K119" s="39"/>
      <c r="L119" s="39"/>
    </row>
    <row r="120" spans="1:12" ht="41.25" customHeight="1">
      <c r="A120" s="797" t="s">
        <v>220</v>
      </c>
      <c r="B120" s="797"/>
      <c r="C120" s="797"/>
      <c r="D120" s="797"/>
      <c r="E120" s="797"/>
      <c r="F120" s="797"/>
      <c r="G120" s="39"/>
      <c r="H120" s="39"/>
      <c r="I120" s="39"/>
      <c r="J120" s="39"/>
      <c r="K120" s="39"/>
      <c r="L120" s="39"/>
    </row>
    <row r="121" spans="1:12" ht="15">
      <c r="A121" s="190" t="s">
        <v>221</v>
      </c>
      <c r="B121" s="187"/>
      <c r="C121" s="187"/>
      <c r="D121" s="187"/>
      <c r="E121" s="187"/>
      <c r="F121" s="40"/>
      <c r="G121" s="39"/>
      <c r="H121" s="39"/>
      <c r="I121" s="39"/>
      <c r="J121" s="39"/>
      <c r="K121" s="39"/>
      <c r="L121" s="39"/>
    </row>
    <row r="122" spans="1:12" ht="84" customHeight="1">
      <c r="A122" s="797" t="s">
        <v>222</v>
      </c>
      <c r="B122" s="797"/>
      <c r="C122" s="797"/>
      <c r="D122" s="797"/>
      <c r="E122" s="797"/>
      <c r="F122" s="797"/>
      <c r="G122" s="39"/>
      <c r="H122" s="39"/>
      <c r="I122" s="39"/>
      <c r="J122" s="39"/>
      <c r="K122" s="39"/>
      <c r="L122" s="39"/>
    </row>
    <row r="123" spans="1:12" ht="15">
      <c r="A123" s="190" t="s">
        <v>223</v>
      </c>
      <c r="B123" s="187"/>
      <c r="C123" s="187"/>
      <c r="D123" s="187"/>
      <c r="E123" s="187"/>
      <c r="F123" s="40"/>
      <c r="G123" s="39"/>
      <c r="H123" s="39"/>
      <c r="I123" s="39"/>
      <c r="J123" s="39"/>
      <c r="K123" s="39"/>
      <c r="L123" s="39"/>
    </row>
    <row r="124" spans="1:12" ht="43.5" customHeight="1">
      <c r="A124" s="797" t="s">
        <v>224</v>
      </c>
      <c r="B124" s="797"/>
      <c r="C124" s="797"/>
      <c r="D124" s="797"/>
      <c r="E124" s="797"/>
      <c r="F124" s="797"/>
      <c r="G124" s="39"/>
      <c r="H124" s="39"/>
      <c r="I124" s="39"/>
      <c r="J124" s="39"/>
      <c r="K124" s="39"/>
      <c r="L124" s="39"/>
    </row>
    <row r="125" spans="1:12" ht="30" customHeight="1">
      <c r="A125" s="797" t="s">
        <v>225</v>
      </c>
      <c r="B125" s="797"/>
      <c r="C125" s="797"/>
      <c r="D125" s="797"/>
      <c r="E125" s="797"/>
      <c r="F125" s="797"/>
      <c r="G125" s="39"/>
      <c r="H125" s="39"/>
      <c r="I125" s="39"/>
      <c r="J125" s="39"/>
      <c r="K125" s="39"/>
      <c r="L125" s="39"/>
    </row>
    <row r="126" spans="1:12" ht="15">
      <c r="A126" s="799" t="s">
        <v>419</v>
      </c>
      <c r="B126" s="799"/>
      <c r="C126" s="799"/>
      <c r="D126" s="799"/>
      <c r="E126" s="799"/>
      <c r="F126" s="799"/>
      <c r="G126" s="39"/>
      <c r="H126" s="39"/>
      <c r="I126" s="39"/>
      <c r="J126" s="39"/>
      <c r="K126" s="39"/>
      <c r="L126" s="39"/>
    </row>
    <row r="127" spans="1:12" ht="15">
      <c r="A127" s="799" t="s">
        <v>420</v>
      </c>
      <c r="B127" s="799"/>
      <c r="C127" s="799"/>
      <c r="D127" s="799"/>
      <c r="E127" s="799"/>
      <c r="F127" s="799"/>
      <c r="G127" s="39"/>
      <c r="H127" s="39"/>
      <c r="I127" s="39"/>
      <c r="J127" s="39"/>
      <c r="K127" s="39"/>
      <c r="L127" s="39"/>
    </row>
    <row r="128" spans="1:12" ht="15">
      <c r="A128" s="799" t="s">
        <v>421</v>
      </c>
      <c r="B128" s="799"/>
      <c r="C128" s="799"/>
      <c r="D128" s="799"/>
      <c r="E128" s="799"/>
      <c r="F128" s="799"/>
      <c r="G128" s="39"/>
      <c r="H128" s="39"/>
      <c r="I128" s="39"/>
      <c r="J128" s="39"/>
      <c r="K128" s="39"/>
      <c r="L128" s="39"/>
    </row>
    <row r="129" spans="1:12" ht="43.5" customHeight="1">
      <c r="A129" s="797" t="s">
        <v>226</v>
      </c>
      <c r="B129" s="797"/>
      <c r="C129" s="797"/>
      <c r="D129" s="797"/>
      <c r="E129" s="797"/>
      <c r="F129" s="797"/>
      <c r="G129" s="39"/>
      <c r="H129" s="39"/>
      <c r="I129" s="39"/>
      <c r="J129" s="39"/>
      <c r="K129" s="39"/>
      <c r="L129" s="39"/>
    </row>
    <row r="130" spans="1:12" ht="15">
      <c r="A130" s="39"/>
      <c r="B130" s="39"/>
      <c r="C130" s="39"/>
      <c r="D130" s="39"/>
      <c r="E130" s="40"/>
      <c r="F130" s="40"/>
      <c r="G130" s="39"/>
      <c r="H130" s="39"/>
      <c r="I130" s="39"/>
      <c r="J130" s="39"/>
      <c r="K130" s="39"/>
      <c r="L130" s="39"/>
    </row>
    <row r="131" spans="1:12" ht="15">
      <c r="A131" s="202" t="s">
        <v>227</v>
      </c>
      <c r="B131" s="200"/>
      <c r="C131" s="39"/>
      <c r="D131" s="39"/>
      <c r="E131" s="40"/>
      <c r="F131" s="40"/>
      <c r="G131" s="39"/>
      <c r="H131" s="39"/>
      <c r="I131" s="39"/>
      <c r="J131" s="39"/>
      <c r="K131" s="39"/>
      <c r="L131" s="39"/>
    </row>
    <row r="132" spans="1:12" ht="15">
      <c r="A132" s="185" t="s">
        <v>228</v>
      </c>
      <c r="B132" s="185"/>
      <c r="C132" s="39"/>
      <c r="D132" s="39"/>
      <c r="E132" s="40"/>
      <c r="F132" s="40"/>
      <c r="G132" s="39"/>
      <c r="H132" s="39"/>
      <c r="I132" s="39"/>
      <c r="J132" s="39"/>
      <c r="K132" s="39"/>
      <c r="L132" s="39"/>
    </row>
    <row r="133" spans="1:12" ht="44.25" customHeight="1">
      <c r="A133" s="802" t="s">
        <v>229</v>
      </c>
      <c r="B133" s="802"/>
      <c r="C133" s="802"/>
      <c r="D133" s="802"/>
      <c r="E133" s="802"/>
      <c r="F133" s="802"/>
      <c r="G133" s="39"/>
      <c r="H133" s="39"/>
      <c r="I133" s="39"/>
      <c r="J133" s="39"/>
      <c r="K133" s="39"/>
      <c r="L133" s="39"/>
    </row>
    <row r="134" spans="1:12" ht="43.5" customHeight="1">
      <c r="A134" s="802" t="s">
        <v>230</v>
      </c>
      <c r="B134" s="802"/>
      <c r="C134" s="802"/>
      <c r="D134" s="802"/>
      <c r="E134" s="802"/>
      <c r="F134" s="802"/>
      <c r="G134" s="39"/>
      <c r="H134" s="39"/>
      <c r="I134" s="39"/>
      <c r="J134" s="39"/>
      <c r="K134" s="39"/>
      <c r="L134" s="39"/>
    </row>
    <row r="135" spans="1:12" ht="19.5" customHeight="1">
      <c r="A135" s="802" t="s">
        <v>384</v>
      </c>
      <c r="B135" s="802"/>
      <c r="C135" s="802"/>
      <c r="D135" s="802"/>
      <c r="E135" s="802"/>
      <c r="F135" s="802"/>
      <c r="G135" s="39"/>
      <c r="H135" s="39"/>
      <c r="I135" s="39"/>
      <c r="J135" s="39"/>
      <c r="K135" s="39"/>
      <c r="L135" s="39"/>
    </row>
    <row r="136" spans="1:12" ht="26.25" customHeight="1">
      <c r="A136" s="190" t="s">
        <v>231</v>
      </c>
      <c r="B136" s="187"/>
      <c r="C136" s="39"/>
      <c r="D136" s="39"/>
      <c r="E136" s="40"/>
      <c r="F136" s="40"/>
      <c r="G136" s="39"/>
      <c r="H136" s="39"/>
      <c r="I136" s="39"/>
      <c r="J136" s="39"/>
      <c r="K136" s="39"/>
      <c r="L136" s="39"/>
    </row>
    <row r="137" spans="1:12" ht="26.25" customHeight="1">
      <c r="A137" s="798" t="s">
        <v>232</v>
      </c>
      <c r="B137" s="798"/>
      <c r="C137" s="798"/>
      <c r="D137" s="798"/>
      <c r="E137" s="798"/>
      <c r="F137" s="798"/>
      <c r="G137" s="39"/>
      <c r="H137" s="39"/>
      <c r="I137" s="39"/>
      <c r="J137" s="39"/>
      <c r="K137" s="39"/>
      <c r="L137" s="39"/>
    </row>
    <row r="138" spans="1:12" ht="123.75" customHeight="1">
      <c r="A138" s="798" t="s">
        <v>233</v>
      </c>
      <c r="B138" s="798"/>
      <c r="C138" s="798"/>
      <c r="D138" s="798"/>
      <c r="E138" s="798"/>
      <c r="F138" s="798"/>
      <c r="G138" s="39"/>
      <c r="H138" s="39"/>
      <c r="I138" s="39"/>
      <c r="J138" s="39"/>
      <c r="K138" s="39"/>
      <c r="L138" s="39"/>
    </row>
    <row r="139" spans="1:12" ht="15">
      <c r="A139" s="201"/>
      <c r="B139" s="201"/>
      <c r="C139" s="201"/>
      <c r="D139" s="201"/>
      <c r="E139" s="201"/>
      <c r="F139" s="201"/>
      <c r="G139" s="39"/>
      <c r="H139" s="39"/>
      <c r="I139" s="39"/>
      <c r="J139" s="39"/>
      <c r="K139" s="39"/>
      <c r="L139" s="39"/>
    </row>
    <row r="140" spans="1:12" ht="15">
      <c r="A140" s="185" t="s">
        <v>234</v>
      </c>
      <c r="B140" s="185"/>
      <c r="C140" s="39"/>
      <c r="D140" s="39"/>
      <c r="E140" s="40"/>
      <c r="F140" s="40"/>
      <c r="G140" s="39"/>
      <c r="H140" s="39"/>
      <c r="I140" s="39"/>
      <c r="J140" s="39"/>
      <c r="K140" s="39"/>
      <c r="L140" s="39"/>
    </row>
    <row r="141" spans="1:12" ht="58.5" customHeight="1">
      <c r="A141" s="798" t="s">
        <v>235</v>
      </c>
      <c r="B141" s="798"/>
      <c r="C141" s="798"/>
      <c r="D141" s="798"/>
      <c r="E141" s="798"/>
      <c r="F141" s="798"/>
      <c r="G141" s="39"/>
      <c r="H141" s="39"/>
      <c r="I141" s="39"/>
      <c r="J141" s="39"/>
      <c r="K141" s="39"/>
      <c r="L141" s="39"/>
    </row>
    <row r="142" spans="1:12" ht="42" customHeight="1">
      <c r="A142" s="798" t="s">
        <v>236</v>
      </c>
      <c r="B142" s="798"/>
      <c r="C142" s="798"/>
      <c r="D142" s="798"/>
      <c r="E142" s="798"/>
      <c r="F142" s="798"/>
      <c r="G142" s="39"/>
      <c r="H142" s="39"/>
      <c r="I142" s="39"/>
      <c r="J142" s="39"/>
      <c r="K142" s="39"/>
      <c r="L142" s="39"/>
    </row>
    <row r="143" spans="1:12" ht="42.75" customHeight="1">
      <c r="A143" s="798" t="s">
        <v>237</v>
      </c>
      <c r="B143" s="798"/>
      <c r="C143" s="798"/>
      <c r="D143" s="798"/>
      <c r="E143" s="798"/>
      <c r="F143" s="798"/>
      <c r="G143" s="39"/>
      <c r="H143" s="39"/>
      <c r="I143" s="39"/>
      <c r="J143" s="39"/>
      <c r="K143" s="39"/>
      <c r="L143" s="39"/>
    </row>
    <row r="144" spans="1:12" ht="24.75" customHeight="1">
      <c r="A144" s="190" t="s">
        <v>238</v>
      </c>
      <c r="B144" s="187"/>
      <c r="C144" s="39"/>
      <c r="D144" s="39"/>
      <c r="E144" s="40"/>
      <c r="F144" s="40"/>
      <c r="G144" s="39"/>
      <c r="H144" s="39"/>
      <c r="I144" s="39"/>
      <c r="J144" s="39"/>
      <c r="K144" s="39"/>
      <c r="L144" s="39"/>
    </row>
    <row r="145" spans="1:12" ht="71.25" customHeight="1">
      <c r="A145" s="798" t="s">
        <v>239</v>
      </c>
      <c r="B145" s="798"/>
      <c r="C145" s="798"/>
      <c r="D145" s="798"/>
      <c r="E145" s="798"/>
      <c r="F145" s="798"/>
      <c r="G145" s="39"/>
      <c r="H145" s="39"/>
      <c r="I145" s="39"/>
      <c r="J145" s="39"/>
      <c r="K145" s="39"/>
      <c r="L145" s="39"/>
    </row>
    <row r="146" spans="1:12" ht="77.25" customHeight="1">
      <c r="A146" s="798" t="s">
        <v>240</v>
      </c>
      <c r="B146" s="798"/>
      <c r="C146" s="798"/>
      <c r="D146" s="798"/>
      <c r="E146" s="798"/>
      <c r="F146" s="798"/>
      <c r="G146" s="39"/>
      <c r="H146" s="39"/>
      <c r="I146" s="39"/>
      <c r="J146" s="39"/>
      <c r="K146" s="39"/>
      <c r="L146" s="39"/>
    </row>
    <row r="147" spans="1:12" ht="15">
      <c r="A147" s="190" t="s">
        <v>241</v>
      </c>
      <c r="B147" s="187"/>
      <c r="C147" s="39"/>
      <c r="D147" s="39"/>
      <c r="E147" s="40"/>
      <c r="F147" s="40"/>
      <c r="G147" s="39"/>
      <c r="H147" s="39"/>
      <c r="I147" s="39"/>
      <c r="J147" s="39"/>
      <c r="K147" s="39"/>
      <c r="L147" s="39"/>
    </row>
    <row r="148" spans="1:12" ht="69" customHeight="1">
      <c r="A148" s="798" t="s">
        <v>242</v>
      </c>
      <c r="B148" s="798"/>
      <c r="C148" s="798"/>
      <c r="D148" s="798"/>
      <c r="E148" s="798"/>
      <c r="F148" s="798"/>
      <c r="G148" s="39"/>
      <c r="H148" s="39"/>
      <c r="I148" s="39"/>
      <c r="J148" s="39"/>
      <c r="K148" s="39"/>
      <c r="L148" s="39"/>
    </row>
    <row r="149" spans="1:12" ht="15">
      <c r="A149" s="202" t="s">
        <v>227</v>
      </c>
      <c r="B149" s="187"/>
      <c r="C149" s="39"/>
      <c r="D149" s="39"/>
      <c r="E149" s="40"/>
      <c r="F149" s="40"/>
      <c r="G149" s="39"/>
      <c r="H149" s="39"/>
      <c r="I149" s="39"/>
      <c r="J149" s="39"/>
      <c r="K149" s="39"/>
      <c r="L149" s="39"/>
    </row>
    <row r="150" spans="1:12" ht="15">
      <c r="A150" s="185" t="s">
        <v>243</v>
      </c>
      <c r="B150" s="185"/>
      <c r="C150" s="39"/>
      <c r="D150" s="39"/>
      <c r="E150" s="40"/>
      <c r="F150" s="40"/>
      <c r="G150" s="39"/>
      <c r="H150" s="39"/>
      <c r="I150" s="39"/>
      <c r="J150" s="39"/>
      <c r="K150" s="39"/>
      <c r="L150" s="39"/>
    </row>
    <row r="151" spans="1:12" ht="61.5" customHeight="1">
      <c r="A151" s="801" t="s">
        <v>244</v>
      </c>
      <c r="B151" s="801"/>
      <c r="C151" s="801"/>
      <c r="D151" s="801"/>
      <c r="E151" s="801"/>
      <c r="F151" s="801"/>
      <c r="G151" s="39"/>
      <c r="H151" s="39"/>
      <c r="I151" s="39"/>
      <c r="J151" s="39"/>
      <c r="K151" s="39"/>
      <c r="L151" s="39"/>
    </row>
    <row r="152" spans="1:12" ht="44.25" customHeight="1">
      <c r="A152" s="801" t="s">
        <v>245</v>
      </c>
      <c r="B152" s="801"/>
      <c r="C152" s="801"/>
      <c r="D152" s="801"/>
      <c r="E152" s="801"/>
      <c r="F152" s="801"/>
      <c r="G152" s="39"/>
      <c r="H152" s="39"/>
      <c r="I152" s="39"/>
      <c r="J152" s="39"/>
      <c r="K152" s="39"/>
      <c r="L152" s="39"/>
    </row>
    <row r="153" spans="1:12" ht="15" hidden="1">
      <c r="A153" s="189" t="s">
        <v>413</v>
      </c>
      <c r="B153" s="50"/>
      <c r="C153" s="50"/>
      <c r="D153" s="50"/>
      <c r="E153" s="50"/>
      <c r="F153" s="50"/>
      <c r="G153" s="39"/>
      <c r="H153" s="39"/>
      <c r="I153" s="39"/>
      <c r="J153" s="39"/>
      <c r="K153" s="39"/>
      <c r="L153" s="39"/>
    </row>
    <row r="154" spans="1:12" s="10" customFormat="1" ht="15">
      <c r="A154" s="189"/>
      <c r="B154" s="117"/>
      <c r="C154" s="117"/>
      <c r="D154" s="117"/>
      <c r="E154" s="117"/>
      <c r="F154" s="117"/>
      <c r="G154" s="39"/>
      <c r="H154" s="39"/>
      <c r="I154" s="39"/>
      <c r="J154" s="39"/>
      <c r="K154" s="39"/>
      <c r="L154" s="39"/>
    </row>
    <row r="155" spans="1:12" ht="15">
      <c r="A155" s="185" t="s">
        <v>246</v>
      </c>
      <c r="B155" s="185"/>
      <c r="C155" s="39"/>
      <c r="D155" s="39"/>
      <c r="E155" s="40"/>
      <c r="F155" s="40"/>
      <c r="G155" s="39"/>
      <c r="H155" s="39"/>
      <c r="I155" s="39"/>
      <c r="J155" s="39"/>
      <c r="K155" s="39"/>
      <c r="L155" s="39"/>
    </row>
    <row r="156" spans="1:12" ht="93.75" customHeight="1">
      <c r="A156" s="801" t="s">
        <v>247</v>
      </c>
      <c r="B156" s="801"/>
      <c r="C156" s="801"/>
      <c r="D156" s="801"/>
      <c r="E156" s="801"/>
      <c r="F156" s="801"/>
      <c r="G156" s="39"/>
      <c r="H156" s="39"/>
      <c r="I156" s="39"/>
      <c r="J156" s="39"/>
      <c r="K156" s="39"/>
      <c r="L156" s="39"/>
    </row>
    <row r="157" spans="1:12" ht="42" customHeight="1">
      <c r="A157" s="801" t="s">
        <v>248</v>
      </c>
      <c r="B157" s="801"/>
      <c r="C157" s="801"/>
      <c r="D157" s="801"/>
      <c r="E157" s="801"/>
      <c r="F157" s="801"/>
      <c r="G157" s="39"/>
      <c r="H157" s="39"/>
      <c r="I157" s="39"/>
      <c r="J157" s="39"/>
      <c r="K157" s="39"/>
      <c r="L157" s="39"/>
    </row>
    <row r="158" spans="1:12" ht="15">
      <c r="A158" s="200"/>
      <c r="B158" s="203"/>
      <c r="C158" s="203"/>
      <c r="D158" s="203"/>
      <c r="E158" s="203"/>
      <c r="F158" s="203"/>
      <c r="G158" s="39"/>
      <c r="H158" s="39"/>
      <c r="I158" s="39"/>
      <c r="J158" s="39"/>
      <c r="K158" s="39"/>
      <c r="L158" s="39"/>
    </row>
    <row r="159" spans="1:12" ht="15">
      <c r="A159" s="185" t="s">
        <v>249</v>
      </c>
      <c r="B159" s="185"/>
      <c r="C159" s="39"/>
      <c r="D159" s="39"/>
      <c r="E159" s="40"/>
      <c r="F159" s="40"/>
      <c r="G159" s="39"/>
      <c r="H159" s="39"/>
      <c r="I159" s="39"/>
      <c r="J159" s="39"/>
      <c r="K159" s="39"/>
      <c r="L159" s="39"/>
    </row>
    <row r="160" spans="1:12" ht="28.5" customHeight="1">
      <c r="A160" s="801" t="s">
        <v>250</v>
      </c>
      <c r="B160" s="801"/>
      <c r="C160" s="801"/>
      <c r="D160" s="801"/>
      <c r="E160" s="801"/>
      <c r="F160" s="801"/>
      <c r="G160" s="39"/>
      <c r="H160" s="39"/>
      <c r="I160" s="39"/>
      <c r="J160" s="39"/>
      <c r="K160" s="39"/>
      <c r="L160" s="39"/>
    </row>
    <row r="161" spans="1:12" ht="15">
      <c r="A161" s="203"/>
      <c r="B161" s="203"/>
      <c r="C161" s="203"/>
      <c r="D161" s="203"/>
      <c r="E161" s="203"/>
      <c r="F161" s="203"/>
      <c r="G161" s="39"/>
      <c r="H161" s="39"/>
      <c r="I161" s="39"/>
      <c r="J161" s="39"/>
      <c r="K161" s="39"/>
      <c r="L161" s="39"/>
    </row>
    <row r="162" spans="1:12" ht="15">
      <c r="A162" s="185" t="s">
        <v>251</v>
      </c>
      <c r="B162" s="185"/>
      <c r="C162" s="39"/>
      <c r="D162" s="39"/>
      <c r="E162" s="40"/>
      <c r="F162" s="40"/>
      <c r="G162" s="39"/>
      <c r="H162" s="39"/>
      <c r="I162" s="39"/>
      <c r="J162" s="39"/>
      <c r="K162" s="39"/>
      <c r="L162" s="39"/>
    </row>
    <row r="163" spans="1:12" ht="44.25" customHeight="1">
      <c r="A163" s="801" t="s">
        <v>252</v>
      </c>
      <c r="B163" s="801"/>
      <c r="C163" s="801"/>
      <c r="D163" s="801"/>
      <c r="E163" s="801"/>
      <c r="F163" s="801"/>
      <c r="G163" s="39"/>
      <c r="H163" s="39"/>
      <c r="I163" s="39"/>
      <c r="J163" s="39"/>
      <c r="K163" s="39"/>
      <c r="L163" s="39"/>
    </row>
    <row r="164" spans="1:12" ht="15">
      <c r="A164" s="203"/>
      <c r="B164" s="203"/>
      <c r="C164" s="203"/>
      <c r="D164" s="203"/>
      <c r="E164" s="203"/>
      <c r="F164" s="203"/>
      <c r="G164" s="39"/>
      <c r="H164" s="39"/>
      <c r="I164" s="39"/>
      <c r="J164" s="39"/>
      <c r="K164" s="39"/>
      <c r="L164" s="39"/>
    </row>
    <row r="165" spans="1:12" ht="15">
      <c r="A165" s="185" t="s">
        <v>253</v>
      </c>
      <c r="B165" s="185"/>
      <c r="C165" s="39"/>
      <c r="D165" s="39"/>
      <c r="E165" s="40"/>
      <c r="F165" s="40"/>
      <c r="G165" s="39"/>
      <c r="H165" s="39"/>
      <c r="I165" s="39"/>
      <c r="J165" s="39"/>
      <c r="K165" s="39"/>
      <c r="L165" s="39"/>
    </row>
    <row r="166" spans="1:12" ht="104.25" customHeight="1">
      <c r="A166" s="801" t="s">
        <v>254</v>
      </c>
      <c r="B166" s="801"/>
      <c r="C166" s="801"/>
      <c r="D166" s="801"/>
      <c r="E166" s="801"/>
      <c r="F166" s="801"/>
      <c r="G166" s="39"/>
      <c r="H166" s="39"/>
      <c r="I166" s="39"/>
      <c r="J166" s="39"/>
      <c r="K166" s="39"/>
      <c r="L166" s="39"/>
    </row>
    <row r="167" spans="1:12" ht="15">
      <c r="A167" s="204"/>
      <c r="B167" s="204"/>
      <c r="C167" s="204"/>
      <c r="D167" s="204"/>
      <c r="E167" s="204"/>
      <c r="F167" s="204"/>
      <c r="G167" s="39"/>
      <c r="H167" s="39"/>
      <c r="I167" s="39"/>
      <c r="J167" s="39"/>
      <c r="K167" s="39"/>
      <c r="L167" s="39"/>
    </row>
    <row r="168" spans="1:12" ht="15">
      <c r="A168" s="185" t="s">
        <v>255</v>
      </c>
      <c r="B168" s="185"/>
      <c r="C168" s="39"/>
      <c r="D168" s="39"/>
      <c r="E168" s="40"/>
      <c r="F168" s="40"/>
      <c r="G168" s="39"/>
      <c r="H168" s="39"/>
      <c r="I168" s="39"/>
      <c r="J168" s="39"/>
      <c r="K168" s="39"/>
      <c r="L168" s="39"/>
    </row>
    <row r="169" spans="1:12" ht="45.75" customHeight="1">
      <c r="A169" s="801" t="s">
        <v>256</v>
      </c>
      <c r="B169" s="801"/>
      <c r="C169" s="801"/>
      <c r="D169" s="801"/>
      <c r="E169" s="801"/>
      <c r="F169" s="801"/>
      <c r="G169" s="39"/>
      <c r="H169" s="39"/>
      <c r="I169" s="39"/>
      <c r="J169" s="39"/>
      <c r="K169" s="39"/>
      <c r="L169" s="39"/>
    </row>
    <row r="170" spans="1:12" ht="6" customHeight="1">
      <c r="A170" s="203"/>
      <c r="B170" s="203"/>
      <c r="C170" s="203"/>
      <c r="D170" s="203"/>
      <c r="E170" s="203"/>
      <c r="F170" s="203"/>
      <c r="G170" s="39"/>
      <c r="H170" s="39"/>
      <c r="I170" s="39"/>
      <c r="J170" s="39"/>
      <c r="K170" s="39"/>
      <c r="L170" s="39"/>
    </row>
    <row r="171" spans="1:12" ht="15">
      <c r="A171" s="185" t="s">
        <v>257</v>
      </c>
      <c r="B171" s="185"/>
      <c r="C171" s="39"/>
      <c r="D171" s="39"/>
      <c r="E171" s="40"/>
      <c r="F171" s="40"/>
      <c r="G171" s="39"/>
      <c r="H171" s="39"/>
      <c r="I171" s="39"/>
      <c r="J171" s="39"/>
      <c r="K171" s="39"/>
      <c r="L171" s="39"/>
    </row>
    <row r="172" spans="1:12" ht="69.75" customHeight="1">
      <c r="A172" s="798" t="s">
        <v>258</v>
      </c>
      <c r="B172" s="798"/>
      <c r="C172" s="798"/>
      <c r="D172" s="798"/>
      <c r="E172" s="798"/>
      <c r="F172" s="798"/>
      <c r="G172" s="39"/>
      <c r="H172" s="39"/>
      <c r="I172" s="39"/>
      <c r="J172" s="39"/>
      <c r="K172" s="39"/>
      <c r="L172" s="39"/>
    </row>
    <row r="173" spans="1:12" ht="17.25" customHeight="1">
      <c r="A173" s="798" t="s">
        <v>259</v>
      </c>
      <c r="B173" s="798"/>
      <c r="C173" s="798"/>
      <c r="D173" s="798"/>
      <c r="E173" s="798"/>
      <c r="F173" s="798"/>
      <c r="G173" s="39"/>
      <c r="H173" s="39"/>
      <c r="I173" s="39"/>
      <c r="J173" s="39"/>
      <c r="K173" s="39"/>
      <c r="L173" s="39"/>
    </row>
    <row r="174" spans="2:12" ht="9" customHeight="1">
      <c r="B174" s="187"/>
      <c r="C174" s="39"/>
      <c r="D174" s="39"/>
      <c r="E174" s="40"/>
      <c r="F174" s="40"/>
      <c r="G174" s="39"/>
      <c r="H174" s="39"/>
      <c r="I174" s="39"/>
      <c r="J174" s="39"/>
      <c r="K174" s="39"/>
      <c r="L174" s="39"/>
    </row>
    <row r="175" spans="1:12" ht="15">
      <c r="A175" s="185" t="s">
        <v>260</v>
      </c>
      <c r="B175" s="185"/>
      <c r="C175" s="39"/>
      <c r="D175" s="39"/>
      <c r="E175" s="40"/>
      <c r="F175" s="40"/>
      <c r="G175" s="39"/>
      <c r="H175" s="39"/>
      <c r="I175" s="39"/>
      <c r="J175" s="39"/>
      <c r="K175" s="39"/>
      <c r="L175" s="39"/>
    </row>
    <row r="176" spans="1:12" ht="60.75" customHeight="1">
      <c r="A176" s="798" t="s">
        <v>261</v>
      </c>
      <c r="B176" s="798"/>
      <c r="C176" s="798"/>
      <c r="D176" s="798"/>
      <c r="E176" s="798"/>
      <c r="F176" s="798"/>
      <c r="G176" s="39"/>
      <c r="H176" s="39"/>
      <c r="I176" s="39"/>
      <c r="J176" s="39"/>
      <c r="K176" s="39"/>
      <c r="L176" s="39"/>
    </row>
    <row r="177" spans="1:12" ht="12.75" customHeight="1">
      <c r="A177" s="802" t="s">
        <v>262</v>
      </c>
      <c r="B177" s="802"/>
      <c r="C177" s="802"/>
      <c r="D177" s="802"/>
      <c r="E177" s="802"/>
      <c r="F177" s="802"/>
      <c r="G177" s="39"/>
      <c r="H177" s="39"/>
      <c r="I177" s="39"/>
      <c r="J177" s="39"/>
      <c r="K177" s="39"/>
      <c r="L177" s="39"/>
    </row>
    <row r="178" spans="1:12" s="10" customFormat="1" ht="12.75" customHeight="1">
      <c r="A178" s="202" t="s">
        <v>227</v>
      </c>
      <c r="B178" s="201"/>
      <c r="C178" s="201"/>
      <c r="D178" s="201"/>
      <c r="E178" s="201"/>
      <c r="F178" s="201"/>
      <c r="G178" s="39"/>
      <c r="H178" s="39"/>
      <c r="I178" s="39"/>
      <c r="J178" s="39"/>
      <c r="K178" s="39"/>
      <c r="L178" s="39"/>
    </row>
    <row r="179" spans="1:12" ht="30.75" customHeight="1">
      <c r="A179" s="185" t="s">
        <v>263</v>
      </c>
      <c r="B179" s="185"/>
      <c r="C179" s="39"/>
      <c r="D179" s="39"/>
      <c r="E179" s="40"/>
      <c r="F179" s="40"/>
      <c r="G179" s="39"/>
      <c r="H179" s="39"/>
      <c r="I179" s="39"/>
      <c r="J179" s="39"/>
      <c r="K179" s="39"/>
      <c r="L179" s="39"/>
    </row>
    <row r="180" spans="1:12" ht="56.25" customHeight="1">
      <c r="A180" s="798" t="s">
        <v>264</v>
      </c>
      <c r="B180" s="798"/>
      <c r="C180" s="798"/>
      <c r="D180" s="798"/>
      <c r="E180" s="798"/>
      <c r="F180" s="798"/>
      <c r="G180" s="39"/>
      <c r="H180" s="39"/>
      <c r="I180" s="39"/>
      <c r="J180" s="39"/>
      <c r="K180" s="39"/>
      <c r="L180" s="39"/>
    </row>
    <row r="181" spans="1:12" ht="60" customHeight="1">
      <c r="A181" s="798" t="s">
        <v>265</v>
      </c>
      <c r="B181" s="798"/>
      <c r="C181" s="798"/>
      <c r="D181" s="798"/>
      <c r="E181" s="798"/>
      <c r="F181" s="798"/>
      <c r="G181" s="39"/>
      <c r="H181" s="39"/>
      <c r="I181" s="39"/>
      <c r="J181" s="39"/>
      <c r="K181" s="39"/>
      <c r="L181" s="39"/>
    </row>
    <row r="182" spans="1:12" ht="135" customHeight="1">
      <c r="A182" s="798" t="s">
        <v>266</v>
      </c>
      <c r="B182" s="798"/>
      <c r="C182" s="798"/>
      <c r="D182" s="798"/>
      <c r="E182" s="798"/>
      <c r="F182" s="798"/>
      <c r="G182" s="39"/>
      <c r="H182" s="39"/>
      <c r="I182" s="39"/>
      <c r="J182" s="39"/>
      <c r="K182" s="39"/>
      <c r="L182" s="39"/>
    </row>
    <row r="183" spans="1:12" ht="120.75" customHeight="1">
      <c r="A183" s="798" t="s">
        <v>267</v>
      </c>
      <c r="B183" s="798"/>
      <c r="C183" s="798"/>
      <c r="D183" s="798"/>
      <c r="E183" s="798"/>
      <c r="F183" s="798"/>
      <c r="G183" s="39"/>
      <c r="H183" s="39"/>
      <c r="I183" s="39"/>
      <c r="J183" s="39"/>
      <c r="K183" s="39"/>
      <c r="L183" s="39"/>
    </row>
    <row r="184" spans="1:12" ht="66.75" customHeight="1">
      <c r="A184" s="804" t="s">
        <v>268</v>
      </c>
      <c r="B184" s="804"/>
      <c r="C184" s="804"/>
      <c r="D184" s="804"/>
      <c r="E184" s="804"/>
      <c r="F184" s="804"/>
      <c r="G184" s="39"/>
      <c r="H184" s="39"/>
      <c r="I184" s="39"/>
      <c r="J184" s="39"/>
      <c r="K184" s="39"/>
      <c r="L184" s="39"/>
    </row>
    <row r="185" spans="1:12" ht="25.5" customHeight="1">
      <c r="A185" s="185" t="s">
        <v>269</v>
      </c>
      <c r="B185" s="185"/>
      <c r="C185" s="39"/>
      <c r="D185" s="39"/>
      <c r="E185" s="40"/>
      <c r="F185" s="40"/>
      <c r="G185" s="39"/>
      <c r="H185" s="39"/>
      <c r="I185" s="39"/>
      <c r="J185" s="39"/>
      <c r="K185" s="39"/>
      <c r="L185" s="39"/>
    </row>
    <row r="186" spans="1:12" ht="15">
      <c r="A186" s="205" t="s">
        <v>270</v>
      </c>
      <c r="B186" s="187"/>
      <c r="C186" s="39"/>
      <c r="D186" s="39"/>
      <c r="E186" s="40"/>
      <c r="F186" s="40"/>
      <c r="G186" s="39"/>
      <c r="H186" s="39"/>
      <c r="I186" s="39"/>
      <c r="J186" s="39"/>
      <c r="K186" s="39"/>
      <c r="L186" s="39"/>
    </row>
    <row r="187" spans="1:12" ht="24.75" customHeight="1">
      <c r="A187" s="804" t="s">
        <v>271</v>
      </c>
      <c r="B187" s="804"/>
      <c r="C187" s="804"/>
      <c r="D187" s="804"/>
      <c r="E187" s="804"/>
      <c r="F187" s="804"/>
      <c r="G187" s="39"/>
      <c r="H187" s="39"/>
      <c r="I187" s="39"/>
      <c r="J187" s="39"/>
      <c r="K187" s="39"/>
      <c r="L187" s="39"/>
    </row>
    <row r="188" spans="1:12" ht="50.25" customHeight="1">
      <c r="A188" s="804" t="s">
        <v>272</v>
      </c>
      <c r="B188" s="804"/>
      <c r="C188" s="804"/>
      <c r="D188" s="804"/>
      <c r="E188" s="804"/>
      <c r="F188" s="804"/>
      <c r="G188" s="39"/>
      <c r="H188" s="39"/>
      <c r="I188" s="39"/>
      <c r="J188" s="39"/>
      <c r="K188" s="39"/>
      <c r="L188" s="39"/>
    </row>
    <row r="189" spans="1:12" ht="15">
      <c r="A189" s="39"/>
      <c r="B189" s="39"/>
      <c r="C189" s="39"/>
      <c r="D189" s="39"/>
      <c r="E189" s="40"/>
      <c r="F189" s="40"/>
      <c r="G189" s="39"/>
      <c r="H189" s="39"/>
      <c r="I189" s="39"/>
      <c r="J189" s="39"/>
      <c r="K189" s="39"/>
      <c r="L189" s="39"/>
    </row>
    <row r="190" spans="1:12" ht="15">
      <c r="A190" s="190" t="s">
        <v>273</v>
      </c>
      <c r="B190" s="187"/>
      <c r="C190" s="39"/>
      <c r="D190" s="39"/>
      <c r="E190" s="40"/>
      <c r="F190" s="40"/>
      <c r="G190" s="39"/>
      <c r="H190" s="39"/>
      <c r="I190" s="39"/>
      <c r="J190" s="39"/>
      <c r="K190" s="39"/>
      <c r="L190" s="39"/>
    </row>
    <row r="191" spans="1:12" ht="52.5" customHeight="1">
      <c r="A191" s="804" t="s">
        <v>274</v>
      </c>
      <c r="B191" s="804"/>
      <c r="C191" s="804"/>
      <c r="D191" s="804"/>
      <c r="E191" s="804"/>
      <c r="F191" s="804"/>
      <c r="G191" s="39"/>
      <c r="H191" s="39"/>
      <c r="I191" s="39"/>
      <c r="J191" s="39"/>
      <c r="K191" s="39"/>
      <c r="L191" s="39"/>
    </row>
    <row r="192" spans="1:12" ht="39" customHeight="1">
      <c r="A192" s="804" t="s">
        <v>275</v>
      </c>
      <c r="B192" s="804"/>
      <c r="C192" s="804"/>
      <c r="D192" s="804"/>
      <c r="E192" s="804"/>
      <c r="F192" s="804"/>
      <c r="G192" s="39"/>
      <c r="H192" s="39"/>
      <c r="I192" s="39"/>
      <c r="J192" s="39"/>
      <c r="K192" s="39"/>
      <c r="L192" s="39"/>
    </row>
    <row r="193" spans="2:12" s="10" customFormat="1" ht="8.25" customHeight="1">
      <c r="B193" s="230"/>
      <c r="C193" s="230"/>
      <c r="D193" s="230"/>
      <c r="E193" s="230"/>
      <c r="F193" s="230"/>
      <c r="G193" s="39"/>
      <c r="H193" s="39"/>
      <c r="I193" s="39"/>
      <c r="J193" s="39"/>
      <c r="K193" s="39"/>
      <c r="L193" s="39"/>
    </row>
    <row r="194" spans="1:12" ht="15">
      <c r="A194" s="190" t="s">
        <v>276</v>
      </c>
      <c r="B194" s="187"/>
      <c r="C194" s="39"/>
      <c r="D194" s="39"/>
      <c r="E194" s="40"/>
      <c r="F194" s="40"/>
      <c r="G194" s="39"/>
      <c r="H194" s="39"/>
      <c r="I194" s="39"/>
      <c r="J194" s="39"/>
      <c r="K194" s="39"/>
      <c r="L194" s="39"/>
    </row>
    <row r="195" spans="1:12" ht="51.75" customHeight="1">
      <c r="A195" s="804" t="s">
        <v>277</v>
      </c>
      <c r="B195" s="804"/>
      <c r="C195" s="804"/>
      <c r="D195" s="804"/>
      <c r="E195" s="804"/>
      <c r="F195" s="804"/>
      <c r="G195" s="39"/>
      <c r="H195" s="39"/>
      <c r="I195" s="39"/>
      <c r="J195" s="39"/>
      <c r="K195" s="39"/>
      <c r="L195" s="39"/>
    </row>
    <row r="196" spans="1:12" s="10" customFormat="1" ht="18.75" customHeight="1">
      <c r="A196" s="202" t="s">
        <v>227</v>
      </c>
      <c r="B196" s="230"/>
      <c r="C196" s="230"/>
      <c r="D196" s="230"/>
      <c r="E196" s="230"/>
      <c r="F196" s="230"/>
      <c r="G196" s="39"/>
      <c r="H196" s="39"/>
      <c r="I196" s="39"/>
      <c r="J196" s="39"/>
      <c r="K196" s="39"/>
      <c r="L196" s="39"/>
    </row>
    <row r="197" spans="1:12" ht="15">
      <c r="A197" s="190" t="s">
        <v>278</v>
      </c>
      <c r="B197" s="187"/>
      <c r="C197" s="39"/>
      <c r="D197" s="39"/>
      <c r="E197" s="40"/>
      <c r="F197" s="40"/>
      <c r="G197" s="39"/>
      <c r="H197" s="39"/>
      <c r="I197" s="39"/>
      <c r="J197" s="39"/>
      <c r="K197" s="39"/>
      <c r="L197" s="39"/>
    </row>
    <row r="198" spans="1:12" ht="92.25" customHeight="1">
      <c r="A198" s="804" t="s">
        <v>279</v>
      </c>
      <c r="B198" s="804"/>
      <c r="C198" s="804"/>
      <c r="D198" s="804"/>
      <c r="E198" s="804"/>
      <c r="F198" s="804"/>
      <c r="G198" s="39"/>
      <c r="H198" s="39"/>
      <c r="I198" s="39"/>
      <c r="J198" s="39"/>
      <c r="K198" s="39"/>
      <c r="L198" s="39"/>
    </row>
    <row r="199" spans="1:12" ht="15">
      <c r="A199" s="191"/>
      <c r="B199" s="187"/>
      <c r="C199" s="39"/>
      <c r="D199" s="39"/>
      <c r="E199" s="40"/>
      <c r="F199" s="40"/>
      <c r="G199" s="39"/>
      <c r="H199" s="39"/>
      <c r="I199" s="39"/>
      <c r="J199" s="39"/>
      <c r="K199" s="39"/>
      <c r="L199" s="39"/>
    </row>
    <row r="200" spans="1:12" ht="15">
      <c r="A200" s="188" t="s">
        <v>414</v>
      </c>
      <c r="B200" s="10"/>
      <c r="C200" s="39"/>
      <c r="D200" s="39"/>
      <c r="E200" s="40"/>
      <c r="F200" s="40"/>
      <c r="G200" s="39"/>
      <c r="H200" s="39"/>
      <c r="I200" s="39"/>
      <c r="J200" s="39"/>
      <c r="K200" s="39"/>
      <c r="L200" s="39"/>
    </row>
    <row r="201" spans="1:12" ht="33.75" customHeight="1">
      <c r="A201" s="798" t="s">
        <v>280</v>
      </c>
      <c r="B201" s="798"/>
      <c r="C201" s="798"/>
      <c r="D201" s="798"/>
      <c r="E201" s="798"/>
      <c r="F201" s="798"/>
      <c r="G201" s="39"/>
      <c r="H201" s="39"/>
      <c r="I201" s="39"/>
      <c r="J201" s="39"/>
      <c r="K201" s="39"/>
      <c r="L201" s="39"/>
    </row>
    <row r="202" spans="1:12" ht="105.75" customHeight="1">
      <c r="A202" s="798" t="s">
        <v>281</v>
      </c>
      <c r="B202" s="798"/>
      <c r="C202" s="798"/>
      <c r="D202" s="798"/>
      <c r="E202" s="798"/>
      <c r="F202" s="798"/>
      <c r="G202" s="39"/>
      <c r="H202" s="39"/>
      <c r="I202" s="39"/>
      <c r="J202" s="39"/>
      <c r="K202" s="39"/>
      <c r="L202" s="39"/>
    </row>
    <row r="203" spans="1:12" ht="54" customHeight="1">
      <c r="A203" s="798" t="s">
        <v>282</v>
      </c>
      <c r="B203" s="798"/>
      <c r="C203" s="798"/>
      <c r="D203" s="798"/>
      <c r="E203" s="798"/>
      <c r="F203" s="798"/>
      <c r="G203" s="39"/>
      <c r="H203" s="39"/>
      <c r="I203" s="39"/>
      <c r="J203" s="39"/>
      <c r="K203" s="39"/>
      <c r="L203" s="39"/>
    </row>
    <row r="204" spans="1:12" ht="32.25" customHeight="1">
      <c r="A204" s="798" t="s">
        <v>283</v>
      </c>
      <c r="B204" s="798"/>
      <c r="C204" s="798"/>
      <c r="D204" s="798"/>
      <c r="E204" s="798"/>
      <c r="F204" s="798"/>
      <c r="G204" s="39"/>
      <c r="H204" s="39"/>
      <c r="I204" s="39"/>
      <c r="J204" s="39"/>
      <c r="K204" s="39"/>
      <c r="L204" s="39"/>
    </row>
    <row r="205" spans="1:12" ht="15">
      <c r="A205" s="51"/>
      <c r="B205" s="10"/>
      <c r="C205" s="39"/>
      <c r="D205" s="39"/>
      <c r="E205" s="40"/>
      <c r="F205" s="40"/>
      <c r="G205" s="39"/>
      <c r="H205" s="39"/>
      <c r="I205" s="39"/>
      <c r="J205" s="39"/>
      <c r="K205" s="39"/>
      <c r="L205" s="39"/>
    </row>
    <row r="206" spans="1:12" ht="15">
      <c r="A206" s="43" t="s">
        <v>284</v>
      </c>
      <c r="B206" s="10"/>
      <c r="C206" s="39"/>
      <c r="D206" s="39"/>
      <c r="E206" s="40"/>
      <c r="F206" s="40"/>
      <c r="G206" s="39"/>
      <c r="H206" s="39"/>
      <c r="I206" s="39"/>
      <c r="J206" s="39"/>
      <c r="K206" s="39"/>
      <c r="L206" s="39"/>
    </row>
    <row r="207" spans="1:12" ht="69" customHeight="1">
      <c r="A207" s="798" t="s">
        <v>285</v>
      </c>
      <c r="B207" s="798"/>
      <c r="C207" s="798"/>
      <c r="D207" s="798"/>
      <c r="E207" s="798"/>
      <c r="F207" s="798"/>
      <c r="G207" s="39"/>
      <c r="H207" s="39"/>
      <c r="I207" s="39"/>
      <c r="J207" s="39"/>
      <c r="K207" s="39"/>
      <c r="L207" s="39"/>
    </row>
    <row r="208" spans="1:12" ht="39" customHeight="1">
      <c r="A208" s="798" t="s">
        <v>286</v>
      </c>
      <c r="B208" s="798"/>
      <c r="C208" s="798"/>
      <c r="D208" s="798"/>
      <c r="E208" s="798"/>
      <c r="F208" s="798"/>
      <c r="G208" s="39"/>
      <c r="H208" s="39"/>
      <c r="I208" s="39"/>
      <c r="J208" s="39"/>
      <c r="K208" s="39"/>
      <c r="L208" s="39"/>
    </row>
    <row r="209" spans="1:12" ht="15">
      <c r="A209" s="805" t="s">
        <v>422</v>
      </c>
      <c r="B209" s="805"/>
      <c r="C209" s="805"/>
      <c r="D209" s="39"/>
      <c r="E209" s="40"/>
      <c r="F209" s="40"/>
      <c r="G209" s="39"/>
      <c r="H209" s="39"/>
      <c r="I209" s="39"/>
      <c r="J209" s="39"/>
      <c r="K209" s="39"/>
      <c r="L209" s="39"/>
    </row>
    <row r="210" spans="1:12" ht="15">
      <c r="A210" s="805" t="s">
        <v>423</v>
      </c>
      <c r="B210" s="805"/>
      <c r="C210" s="805"/>
      <c r="D210" s="39"/>
      <c r="E210" s="40"/>
      <c r="F210" s="40"/>
      <c r="G210" s="39"/>
      <c r="H210" s="39"/>
      <c r="I210" s="39"/>
      <c r="J210" s="39"/>
      <c r="K210" s="39"/>
      <c r="L210" s="39"/>
    </row>
    <row r="211" spans="1:12" ht="15">
      <c r="A211" s="805" t="s">
        <v>424</v>
      </c>
      <c r="B211" s="805"/>
      <c r="C211" s="805"/>
      <c r="D211" s="39"/>
      <c r="E211" s="40"/>
      <c r="F211" s="40"/>
      <c r="G211" s="39"/>
      <c r="H211" s="39"/>
      <c r="I211" s="39"/>
      <c r="J211" s="39"/>
      <c r="K211" s="39"/>
      <c r="L211" s="39"/>
    </row>
    <row r="212" spans="1:12" ht="15">
      <c r="A212" s="805" t="s">
        <v>425</v>
      </c>
      <c r="B212" s="805"/>
      <c r="C212" s="805"/>
      <c r="D212" s="39"/>
      <c r="E212" s="40"/>
      <c r="F212" s="40"/>
      <c r="G212" s="39"/>
      <c r="H212" s="39"/>
      <c r="I212" s="39"/>
      <c r="J212" s="39"/>
      <c r="K212" s="39"/>
      <c r="L212" s="39"/>
    </row>
    <row r="213" spans="1:12" ht="15">
      <c r="A213" s="805" t="s">
        <v>426</v>
      </c>
      <c r="B213" s="805"/>
      <c r="C213" s="805"/>
      <c r="D213" s="39"/>
      <c r="E213" s="40"/>
      <c r="F213" s="40"/>
      <c r="G213" s="39"/>
      <c r="H213" s="39"/>
      <c r="I213" s="39"/>
      <c r="J213" s="39"/>
      <c r="K213" s="39"/>
      <c r="L213" s="39"/>
    </row>
    <row r="214" spans="1:12" ht="15">
      <c r="A214" s="39"/>
      <c r="B214" s="39"/>
      <c r="C214" s="39"/>
      <c r="D214" s="39"/>
      <c r="E214" s="40"/>
      <c r="F214" s="40"/>
      <c r="G214" s="39"/>
      <c r="H214" s="39"/>
      <c r="I214" s="39"/>
      <c r="J214" s="39"/>
      <c r="K214" s="39"/>
      <c r="L214" s="39"/>
    </row>
    <row r="215" spans="1:12" ht="15">
      <c r="A215" s="43" t="s">
        <v>287</v>
      </c>
      <c r="B215" s="10"/>
      <c r="C215" s="10"/>
      <c r="D215" s="39"/>
      <c r="E215" s="40"/>
      <c r="F215" s="40"/>
      <c r="G215" s="39"/>
      <c r="H215" s="39"/>
      <c r="I215" s="39"/>
      <c r="J215" s="39"/>
      <c r="K215" s="39"/>
      <c r="L215" s="39"/>
    </row>
    <row r="216" spans="1:12" ht="20.25" customHeight="1">
      <c r="A216" s="52" t="s">
        <v>288</v>
      </c>
      <c r="B216" s="10"/>
      <c r="C216" s="10"/>
      <c r="D216" s="39"/>
      <c r="E216" s="40"/>
      <c r="F216" s="40"/>
      <c r="G216" s="39"/>
      <c r="H216" s="39"/>
      <c r="I216" s="39"/>
      <c r="J216" s="39"/>
      <c r="K216" s="39"/>
      <c r="L216" s="39"/>
    </row>
    <row r="217" spans="1:12" ht="15">
      <c r="A217" s="807" t="s">
        <v>289</v>
      </c>
      <c r="B217" s="807"/>
      <c r="C217" s="187"/>
      <c r="D217" s="39"/>
      <c r="E217" s="40"/>
      <c r="F217" s="40"/>
      <c r="G217" s="39"/>
      <c r="H217" s="39"/>
      <c r="I217" s="39"/>
      <c r="J217" s="39"/>
      <c r="K217" s="39"/>
      <c r="L217" s="39"/>
    </row>
    <row r="218" spans="1:12" ht="15">
      <c r="A218" s="191"/>
      <c r="B218" s="187"/>
      <c r="C218" s="187"/>
      <c r="D218" s="39"/>
      <c r="E218" s="40"/>
      <c r="F218" s="40"/>
      <c r="G218" s="39"/>
      <c r="H218" s="39"/>
      <c r="I218" s="39" t="s">
        <v>145</v>
      </c>
      <c r="J218" s="39" t="s">
        <v>152</v>
      </c>
      <c r="K218" s="39" t="s">
        <v>154</v>
      </c>
      <c r="L218" s="39"/>
    </row>
    <row r="219" spans="1:12" ht="26.25" thickBot="1">
      <c r="A219" s="58" t="s">
        <v>290</v>
      </c>
      <c r="B219" s="39"/>
      <c r="C219" s="39"/>
      <c r="D219" s="39"/>
      <c r="E219" s="525" t="s">
        <v>876</v>
      </c>
      <c r="F219" s="572" t="s">
        <v>877</v>
      </c>
      <c r="G219" s="39"/>
      <c r="H219" s="39"/>
      <c r="I219" s="39"/>
      <c r="J219" s="39"/>
      <c r="K219" s="39"/>
      <c r="L219" s="39"/>
    </row>
    <row r="220" spans="1:12" ht="15">
      <c r="A220" s="618" t="s">
        <v>291</v>
      </c>
      <c r="B220" s="39"/>
      <c r="C220" s="39"/>
      <c r="D220" s="39"/>
      <c r="E220" s="526">
        <f>1691543+400000</f>
        <v>2091543</v>
      </c>
      <c r="F220" s="573">
        <v>1638041</v>
      </c>
      <c r="G220" s="39"/>
      <c r="H220" s="39"/>
      <c r="I220" s="79">
        <v>1638041</v>
      </c>
      <c r="J220" s="46"/>
      <c r="K220" s="39"/>
      <c r="L220" s="39"/>
    </row>
    <row r="221" spans="1:12" ht="15">
      <c r="A221" s="618" t="s">
        <v>292</v>
      </c>
      <c r="B221" s="39"/>
      <c r="C221" s="39"/>
      <c r="D221" s="39"/>
      <c r="E221" s="526">
        <f>580308+70000</f>
        <v>650308</v>
      </c>
      <c r="F221" s="573">
        <v>512041</v>
      </c>
      <c r="G221" s="39"/>
      <c r="H221" s="39"/>
      <c r="I221" s="79">
        <v>512041</v>
      </c>
      <c r="J221" s="46"/>
      <c r="K221" s="39"/>
      <c r="L221" s="39"/>
    </row>
    <row r="222" spans="1:12" ht="15">
      <c r="A222" s="618" t="s">
        <v>293</v>
      </c>
      <c r="B222" s="39"/>
      <c r="C222" s="39"/>
      <c r="D222" s="39"/>
      <c r="E222" s="526">
        <f>391506+50000</f>
        <v>441506</v>
      </c>
      <c r="F222" s="573">
        <v>316696</v>
      </c>
      <c r="G222" s="39"/>
      <c r="H222" s="39"/>
      <c r="I222" s="79">
        <v>316696</v>
      </c>
      <c r="J222" s="46"/>
      <c r="K222" s="39"/>
      <c r="L222" s="39"/>
    </row>
    <row r="223" spans="1:12" ht="15">
      <c r="A223" s="618" t="s">
        <v>294</v>
      </c>
      <c r="B223" s="39"/>
      <c r="C223" s="39"/>
      <c r="D223" s="39"/>
      <c r="E223" s="526">
        <f>231589+80000</f>
        <v>311589</v>
      </c>
      <c r="F223" s="573">
        <v>260414</v>
      </c>
      <c r="G223" s="39"/>
      <c r="H223" s="39"/>
      <c r="I223" s="79">
        <v>260414</v>
      </c>
      <c r="J223" s="46"/>
      <c r="K223" s="39"/>
      <c r="L223" s="39"/>
    </row>
    <row r="224" spans="1:12" ht="15.75" thickBot="1">
      <c r="A224" s="618" t="s">
        <v>295</v>
      </c>
      <c r="B224" s="39"/>
      <c r="C224" s="39"/>
      <c r="D224" s="54"/>
      <c r="E224" s="523">
        <v>2064329</v>
      </c>
      <c r="F224" s="574">
        <v>893927</v>
      </c>
      <c r="G224" s="39"/>
      <c r="H224" s="39"/>
      <c r="I224" s="62">
        <v>76902</v>
      </c>
      <c r="J224" s="106">
        <v>817027</v>
      </c>
      <c r="K224" s="39"/>
      <c r="L224" s="39"/>
    </row>
    <row r="225" spans="1:14" ht="15.75" thickBot="1">
      <c r="A225" s="206"/>
      <c r="B225" s="39"/>
      <c r="C225" s="39"/>
      <c r="D225" s="39"/>
      <c r="E225" s="571">
        <f>SUM(E220:E224)</f>
        <v>5559275</v>
      </c>
      <c r="F225" s="575">
        <f>SUM(F220:F224)</f>
        <v>3621119</v>
      </c>
      <c r="G225" s="39"/>
      <c r="H225" s="39"/>
      <c r="I225" s="83">
        <f>I220+I221+I222+I223+I224</f>
        <v>2804094</v>
      </c>
      <c r="J225" s="57">
        <f>J220+J221+J222+J223+J224</f>
        <v>817027</v>
      </c>
      <c r="K225" s="76">
        <f>SUM(I225:J225)</f>
        <v>3621121</v>
      </c>
      <c r="L225" s="39"/>
      <c r="M225">
        <v>-5559275</v>
      </c>
      <c r="N225">
        <v>-3621119</v>
      </c>
    </row>
    <row r="226" spans="1:12" s="10" customFormat="1" ht="15.75" thickTop="1">
      <c r="A226" s="202" t="s">
        <v>227</v>
      </c>
      <c r="B226" s="39"/>
      <c r="C226" s="39"/>
      <c r="D226" s="80"/>
      <c r="E226" s="80"/>
      <c r="F226" s="80"/>
      <c r="G226" s="39"/>
      <c r="H226" s="39"/>
      <c r="I226" s="234"/>
      <c r="J226" s="235"/>
      <c r="K226" s="76"/>
      <c r="L226" s="39"/>
    </row>
    <row r="227" spans="1:12" ht="15">
      <c r="A227" s="43" t="s">
        <v>296</v>
      </c>
      <c r="B227" s="39"/>
      <c r="C227" s="39"/>
      <c r="D227" s="80"/>
      <c r="E227" s="80"/>
      <c r="F227" s="80"/>
      <c r="G227" s="39"/>
      <c r="H227" s="39"/>
      <c r="I227" s="39"/>
      <c r="J227" s="39"/>
      <c r="K227" s="39"/>
      <c r="L227" s="39"/>
    </row>
    <row r="228" spans="1:12" ht="15">
      <c r="A228" s="52" t="s">
        <v>297</v>
      </c>
      <c r="B228" s="39"/>
      <c r="C228" s="39"/>
      <c r="D228" s="80"/>
      <c r="E228" s="80"/>
      <c r="F228" s="80"/>
      <c r="G228" s="39"/>
      <c r="H228" s="39"/>
      <c r="I228" s="39"/>
      <c r="J228" s="39"/>
      <c r="K228" s="39"/>
      <c r="L228" s="39"/>
    </row>
    <row r="229" spans="1:12" ht="15">
      <c r="A229" s="807" t="s">
        <v>298</v>
      </c>
      <c r="B229" s="807"/>
      <c r="C229" s="807"/>
      <c r="D229" s="80"/>
      <c r="E229" s="80"/>
      <c r="F229" s="80"/>
      <c r="G229" s="39"/>
      <c r="H229" s="39"/>
      <c r="I229" s="39"/>
      <c r="J229" s="39"/>
      <c r="K229" s="39"/>
      <c r="L229" s="39"/>
    </row>
    <row r="230" spans="1:12" ht="8.25" customHeight="1">
      <c r="A230" s="39"/>
      <c r="B230" s="39"/>
      <c r="C230" s="39"/>
      <c r="D230" s="39"/>
      <c r="E230" s="40"/>
      <c r="F230" s="84"/>
      <c r="G230" s="39"/>
      <c r="H230" s="39"/>
      <c r="I230" s="39"/>
      <c r="J230" s="39"/>
      <c r="K230" s="39"/>
      <c r="L230" s="39"/>
    </row>
    <row r="231" spans="1:12" ht="26.25" thickBot="1">
      <c r="A231" s="207" t="s">
        <v>290</v>
      </c>
      <c r="B231" s="39"/>
      <c r="C231" s="39"/>
      <c r="D231" s="39"/>
      <c r="E231" s="525" t="s">
        <v>876</v>
      </c>
      <c r="F231" s="572" t="s">
        <v>877</v>
      </c>
      <c r="G231" s="39"/>
      <c r="H231" s="39"/>
      <c r="I231" s="39" t="s">
        <v>145</v>
      </c>
      <c r="J231" s="39" t="s">
        <v>152</v>
      </c>
      <c r="K231" s="39" t="s">
        <v>154</v>
      </c>
      <c r="L231" s="39"/>
    </row>
    <row r="232" spans="1:12" ht="15">
      <c r="A232" s="617" t="s">
        <v>291</v>
      </c>
      <c r="B232" s="39"/>
      <c r="C232" s="39"/>
      <c r="D232" s="39"/>
      <c r="E232" s="526">
        <f>1359503+250000</f>
        <v>1609503</v>
      </c>
      <c r="F232" s="573">
        <v>1168250</v>
      </c>
      <c r="G232" s="39"/>
      <c r="H232" s="39"/>
      <c r="I232" s="79">
        <v>1168250</v>
      </c>
      <c r="J232" s="85"/>
      <c r="K232" s="39"/>
      <c r="L232" s="39"/>
    </row>
    <row r="233" spans="1:12" ht="15">
      <c r="A233" s="619" t="s">
        <v>292</v>
      </c>
      <c r="B233" s="39"/>
      <c r="C233" s="39"/>
      <c r="D233" s="39"/>
      <c r="E233" s="526">
        <f>357669+122228</f>
        <v>479897</v>
      </c>
      <c r="F233" s="573">
        <v>365187</v>
      </c>
      <c r="G233" s="39"/>
      <c r="H233" s="39"/>
      <c r="I233" s="79">
        <v>365187</v>
      </c>
      <c r="J233" s="85"/>
      <c r="K233" s="39"/>
      <c r="L233" s="39"/>
    </row>
    <row r="234" spans="1:12" ht="15">
      <c r="A234" s="619" t="s">
        <v>293</v>
      </c>
      <c r="B234" s="39"/>
      <c r="C234" s="39"/>
      <c r="D234" s="39"/>
      <c r="E234" s="526">
        <v>309054</v>
      </c>
      <c r="F234" s="573">
        <v>225867</v>
      </c>
      <c r="G234" s="39"/>
      <c r="H234" s="39"/>
      <c r="I234" s="79">
        <v>225867</v>
      </c>
      <c r="J234" s="85"/>
      <c r="K234" s="39"/>
      <c r="L234" s="39"/>
    </row>
    <row r="235" spans="1:12" ht="15">
      <c r="A235" s="619" t="s">
        <v>294</v>
      </c>
      <c r="B235" s="39"/>
      <c r="C235" s="39"/>
      <c r="D235" s="39"/>
      <c r="E235" s="526">
        <f>218112+30000</f>
        <v>248112</v>
      </c>
      <c r="F235" s="573">
        <v>185727</v>
      </c>
      <c r="G235" s="39"/>
      <c r="H235" s="39"/>
      <c r="I235" s="79">
        <v>185727</v>
      </c>
      <c r="J235" s="85"/>
      <c r="K235" s="39"/>
      <c r="L235" s="39"/>
    </row>
    <row r="236" spans="1:12" ht="15.75" thickBot="1">
      <c r="A236" s="619" t="s">
        <v>295</v>
      </c>
      <c r="B236" s="39"/>
      <c r="C236" s="39"/>
      <c r="D236" s="54"/>
      <c r="E236" s="523">
        <v>1651463</v>
      </c>
      <c r="F236" s="574">
        <v>441741</v>
      </c>
      <c r="G236" s="39"/>
      <c r="H236" s="39"/>
      <c r="I236" s="79">
        <v>47039</v>
      </c>
      <c r="J236" s="62">
        <v>391394</v>
      </c>
      <c r="K236" s="76">
        <f>SUM(I236:J236)</f>
        <v>438433</v>
      </c>
      <c r="L236" s="39"/>
    </row>
    <row r="237" spans="1:13" ht="15.75" thickBot="1">
      <c r="A237" s="206"/>
      <c r="B237" s="39"/>
      <c r="C237" s="39"/>
      <c r="D237" s="39"/>
      <c r="E237" s="571">
        <f>SUM(E232:E236)</f>
        <v>4298029</v>
      </c>
      <c r="F237" s="575">
        <f>SUM(F232:F236)</f>
        <v>2386772</v>
      </c>
      <c r="G237" s="39"/>
      <c r="H237" s="39"/>
      <c r="I237" s="83">
        <f>SUM(I232:I236)</f>
        <v>1992070</v>
      </c>
      <c r="J237" s="87">
        <f>J232+J233+J234+J235+J236</f>
        <v>391394</v>
      </c>
      <c r="K237" s="76">
        <f>SUM(I237:J237)</f>
        <v>2383464</v>
      </c>
      <c r="L237" s="39"/>
      <c r="M237">
        <v>-4298029</v>
      </c>
    </row>
    <row r="238" spans="1:12" ht="9" customHeight="1" thickTop="1">
      <c r="A238" s="39"/>
      <c r="B238" s="39"/>
      <c r="C238" s="39"/>
      <c r="D238" s="39"/>
      <c r="E238" s="40"/>
      <c r="F238" s="40"/>
      <c r="G238" s="39"/>
      <c r="H238" s="39"/>
      <c r="I238" s="39"/>
      <c r="J238" s="39"/>
      <c r="K238" s="39"/>
      <c r="L238" s="39"/>
    </row>
    <row r="239" spans="1:12" ht="15">
      <c r="A239" s="43" t="s">
        <v>299</v>
      </c>
      <c r="B239" s="39"/>
      <c r="C239" s="39"/>
      <c r="D239" s="39"/>
      <c r="E239" s="59"/>
      <c r="F239" s="59"/>
      <c r="G239" s="39"/>
      <c r="H239" s="39"/>
      <c r="I239" s="39"/>
      <c r="J239" s="39"/>
      <c r="K239" s="39"/>
      <c r="L239" s="39"/>
    </row>
    <row r="240" spans="1:12" ht="15">
      <c r="A240" s="52" t="s">
        <v>300</v>
      </c>
      <c r="B240" s="39"/>
      <c r="C240" s="39"/>
      <c r="D240" s="39"/>
      <c r="E240" s="59"/>
      <c r="F240" s="59"/>
      <c r="G240" s="39"/>
      <c r="H240" s="39"/>
      <c r="I240" s="39"/>
      <c r="J240" s="39"/>
      <c r="K240" s="39"/>
      <c r="L240" s="39"/>
    </row>
    <row r="241" spans="1:12" ht="22.5" customHeight="1">
      <c r="A241" s="807" t="s">
        <v>301</v>
      </c>
      <c r="B241" s="807"/>
      <c r="C241" s="807"/>
      <c r="D241" s="39"/>
      <c r="E241" s="208"/>
      <c r="F241" s="208"/>
      <c r="G241" s="39"/>
      <c r="H241" s="39"/>
      <c r="I241" s="39"/>
      <c r="J241" s="39"/>
      <c r="K241" s="39"/>
      <c r="L241" s="39"/>
    </row>
    <row r="242" spans="1:12" ht="6.75" customHeight="1">
      <c r="A242" s="209"/>
      <c r="B242" s="39"/>
      <c r="C242" s="39"/>
      <c r="D242" s="39"/>
      <c r="E242" s="208"/>
      <c r="F242" s="208"/>
      <c r="G242" s="39"/>
      <c r="H242" s="39"/>
      <c r="I242" s="39"/>
      <c r="J242" s="39"/>
      <c r="K242" s="39"/>
      <c r="L242" s="39"/>
    </row>
    <row r="243" spans="1:12" ht="26.25" thickBot="1">
      <c r="A243" s="207" t="s">
        <v>290</v>
      </c>
      <c r="B243" s="39"/>
      <c r="C243" s="39"/>
      <c r="D243" s="39"/>
      <c r="E243" s="525" t="s">
        <v>876</v>
      </c>
      <c r="F243" s="572" t="s">
        <v>877</v>
      </c>
      <c r="G243" s="39"/>
      <c r="H243" s="39"/>
      <c r="I243" s="86" t="s">
        <v>145</v>
      </c>
      <c r="J243" s="39" t="s">
        <v>152</v>
      </c>
      <c r="K243" s="39" t="s">
        <v>154</v>
      </c>
      <c r="L243" s="39"/>
    </row>
    <row r="244" spans="1:12" ht="15">
      <c r="A244" s="806" t="s">
        <v>302</v>
      </c>
      <c r="B244" s="806"/>
      <c r="C244" s="39"/>
      <c r="D244" s="39"/>
      <c r="E244" s="576">
        <f>58137+61000</f>
        <v>119137</v>
      </c>
      <c r="F244" s="577">
        <v>92185</v>
      </c>
      <c r="G244" s="39"/>
      <c r="H244" s="39"/>
      <c r="I244" s="85">
        <v>92185</v>
      </c>
      <c r="J244" s="47"/>
      <c r="K244" s="39"/>
      <c r="L244" s="39"/>
    </row>
    <row r="245" spans="1:12" ht="15">
      <c r="A245" s="806" t="s">
        <v>303</v>
      </c>
      <c r="B245" s="806"/>
      <c r="C245" s="39"/>
      <c r="D245" s="39"/>
      <c r="E245" s="576">
        <v>0</v>
      </c>
      <c r="F245" s="577">
        <v>1103</v>
      </c>
      <c r="G245" s="39"/>
      <c r="H245" s="39"/>
      <c r="I245" s="85">
        <v>1103</v>
      </c>
      <c r="J245" s="47">
        <v>0</v>
      </c>
      <c r="K245" s="39"/>
      <c r="L245" s="39"/>
    </row>
    <row r="246" spans="1:12" ht="15">
      <c r="A246" s="616" t="s">
        <v>304</v>
      </c>
      <c r="B246" s="616"/>
      <c r="C246" s="39"/>
      <c r="D246" s="39"/>
      <c r="E246" s="576">
        <v>1438</v>
      </c>
      <c r="F246" s="577">
        <v>1566</v>
      </c>
      <c r="G246" s="39"/>
      <c r="H246" s="39"/>
      <c r="I246" s="85">
        <v>1566</v>
      </c>
      <c r="J246" s="47"/>
      <c r="K246" s="39"/>
      <c r="L246" s="39"/>
    </row>
    <row r="247" spans="1:12" ht="15.75" thickBot="1">
      <c r="A247" s="617" t="s">
        <v>295</v>
      </c>
      <c r="B247" s="86"/>
      <c r="C247" s="39"/>
      <c r="D247" s="60"/>
      <c r="E247" s="523">
        <v>22296</v>
      </c>
      <c r="F247" s="574">
        <v>27224</v>
      </c>
      <c r="G247" s="39"/>
      <c r="H247" s="39"/>
      <c r="I247" s="62">
        <v>676</v>
      </c>
      <c r="J247" s="64">
        <v>26548</v>
      </c>
      <c r="K247" s="39"/>
      <c r="L247" s="39"/>
    </row>
    <row r="248" spans="1:12" ht="15.75" thickBot="1">
      <c r="A248" s="206"/>
      <c r="B248" s="39"/>
      <c r="C248" s="39"/>
      <c r="D248" s="39"/>
      <c r="E248" s="571">
        <f>E244+E245+E246+E247</f>
        <v>142871</v>
      </c>
      <c r="F248" s="578">
        <f>F244+F245+F246+F247</f>
        <v>122078</v>
      </c>
      <c r="G248" s="39"/>
      <c r="H248" s="39"/>
      <c r="I248" s="87">
        <f>SUM(I244:I247)</f>
        <v>95530</v>
      </c>
      <c r="J248" s="63">
        <f>J244+J245+J247</f>
        <v>26548</v>
      </c>
      <c r="K248" s="39"/>
      <c r="L248" s="39"/>
    </row>
    <row r="249" spans="1:12" ht="9.75" customHeight="1" thickTop="1">
      <c r="A249" s="206"/>
      <c r="B249" s="39"/>
      <c r="C249" s="39"/>
      <c r="D249" s="39"/>
      <c r="E249" s="210"/>
      <c r="F249" s="211"/>
      <c r="G249" s="39"/>
      <c r="H249" s="39"/>
      <c r="I249" s="39"/>
      <c r="J249" s="39"/>
      <c r="K249" s="39"/>
      <c r="L249" s="39"/>
    </row>
    <row r="250" spans="1:12" ht="26.25" customHeight="1">
      <c r="A250" s="802" t="s">
        <v>305</v>
      </c>
      <c r="B250" s="802"/>
      <c r="C250" s="802"/>
      <c r="D250" s="802"/>
      <c r="E250" s="802"/>
      <c r="F250" s="802"/>
      <c r="G250" s="39"/>
      <c r="H250" s="39"/>
      <c r="I250" s="39"/>
      <c r="J250" s="39"/>
      <c r="K250" s="39"/>
      <c r="L250" s="39"/>
    </row>
    <row r="251" spans="1:12" ht="15">
      <c r="A251" s="39"/>
      <c r="B251" s="39"/>
      <c r="C251" s="39"/>
      <c r="D251" s="39"/>
      <c r="E251" s="40"/>
      <c r="F251" s="40"/>
      <c r="G251" s="39"/>
      <c r="H251" s="39"/>
      <c r="I251" s="39"/>
      <c r="J251" s="39"/>
      <c r="K251" s="39"/>
      <c r="L251" s="39"/>
    </row>
    <row r="252" spans="1:12" ht="15">
      <c r="A252" s="43" t="s">
        <v>306</v>
      </c>
      <c r="B252" s="39"/>
      <c r="C252" s="39"/>
      <c r="D252" s="39"/>
      <c r="E252" s="59"/>
      <c r="F252" s="59"/>
      <c r="G252" s="39"/>
      <c r="H252" s="39"/>
      <c r="I252" s="39"/>
      <c r="J252" s="39"/>
      <c r="K252" s="39"/>
      <c r="L252" s="39"/>
    </row>
    <row r="253" spans="1:12" ht="15">
      <c r="A253" s="52" t="s">
        <v>307</v>
      </c>
      <c r="B253" s="39"/>
      <c r="C253" s="39"/>
      <c r="D253" s="39"/>
      <c r="E253" s="59"/>
      <c r="F253" s="59"/>
      <c r="G253" s="39"/>
      <c r="H253" s="39"/>
      <c r="I253" s="39"/>
      <c r="J253" s="39"/>
      <c r="K253" s="39"/>
      <c r="L253" s="39"/>
    </row>
    <row r="254" spans="1:12" ht="24.75" customHeight="1">
      <c r="A254" s="807" t="s">
        <v>308</v>
      </c>
      <c r="B254" s="807"/>
      <c r="C254" s="807"/>
      <c r="D254" s="39"/>
      <c r="E254" s="208"/>
      <c r="F254" s="208"/>
      <c r="G254" s="39"/>
      <c r="H254" s="39"/>
      <c r="I254" s="39"/>
      <c r="J254" s="39"/>
      <c r="K254" s="39"/>
      <c r="L254" s="39"/>
    </row>
    <row r="255" spans="1:12" ht="6.75" customHeight="1">
      <c r="A255" s="209"/>
      <c r="B255" s="39"/>
      <c r="C255" s="39"/>
      <c r="D255" s="39"/>
      <c r="E255" s="208"/>
      <c r="F255" s="208"/>
      <c r="G255" s="39"/>
      <c r="H255" s="39"/>
      <c r="I255" s="39"/>
      <c r="J255" s="39"/>
      <c r="K255" s="39"/>
      <c r="L255" s="39"/>
    </row>
    <row r="256" spans="1:12" ht="26.25" thickBot="1">
      <c r="A256" s="207" t="s">
        <v>290</v>
      </c>
      <c r="B256" s="212">
        <v>7210</v>
      </c>
      <c r="C256" s="39"/>
      <c r="D256" s="54"/>
      <c r="E256" s="525" t="s">
        <v>876</v>
      </c>
      <c r="F256" s="572" t="s">
        <v>877</v>
      </c>
      <c r="G256" s="39"/>
      <c r="H256" s="39"/>
      <c r="I256" s="39" t="s">
        <v>145</v>
      </c>
      <c r="J256" s="39" t="s">
        <v>152</v>
      </c>
      <c r="K256" s="39" t="s">
        <v>154</v>
      </c>
      <c r="L256" s="39"/>
    </row>
    <row r="257" spans="1:12" ht="15">
      <c r="A257" s="618" t="s">
        <v>309</v>
      </c>
      <c r="B257" s="212"/>
      <c r="C257" s="39"/>
      <c r="D257" s="39"/>
      <c r="E257" s="526">
        <f>159010+73240</f>
        <v>232250</v>
      </c>
      <c r="F257" s="579">
        <v>244041</v>
      </c>
      <c r="G257" s="39"/>
      <c r="H257" s="39"/>
      <c r="I257" s="79">
        <v>164957</v>
      </c>
      <c r="J257" s="79">
        <v>79084</v>
      </c>
      <c r="K257" s="39"/>
      <c r="L257" s="39"/>
    </row>
    <row r="258" spans="1:12" ht="15">
      <c r="A258" s="618" t="s">
        <v>310</v>
      </c>
      <c r="B258" s="212"/>
      <c r="C258" s="39"/>
      <c r="D258" s="39"/>
      <c r="E258" s="526">
        <f>7103</f>
        <v>7103</v>
      </c>
      <c r="F258" s="579">
        <v>40541</v>
      </c>
      <c r="G258" s="39"/>
      <c r="H258" s="39"/>
      <c r="I258" s="79">
        <v>11611</v>
      </c>
      <c r="J258" s="79">
        <v>28930</v>
      </c>
      <c r="K258" s="39"/>
      <c r="L258" s="39"/>
    </row>
    <row r="259" spans="1:12" ht="15">
      <c r="A259" s="618" t="s">
        <v>223</v>
      </c>
      <c r="B259" s="212"/>
      <c r="C259" s="39"/>
      <c r="D259" s="39"/>
      <c r="E259" s="526">
        <f>9939+30986</f>
        <v>40925</v>
      </c>
      <c r="F259" s="579">
        <v>44596</v>
      </c>
      <c r="G259" s="39"/>
      <c r="H259" s="39"/>
      <c r="I259" s="79">
        <v>37575</v>
      </c>
      <c r="J259" s="79">
        <v>7021</v>
      </c>
      <c r="K259" s="39"/>
      <c r="L259" s="39"/>
    </row>
    <row r="260" spans="1:12" ht="25.5">
      <c r="A260" s="618" t="s">
        <v>311</v>
      </c>
      <c r="B260" s="212"/>
      <c r="C260" s="39"/>
      <c r="D260" s="39"/>
      <c r="E260" s="526">
        <f>21870+7136</f>
        <v>29006</v>
      </c>
      <c r="F260" s="579">
        <v>29380</v>
      </c>
      <c r="G260" s="39"/>
      <c r="H260" s="39"/>
      <c r="I260" s="79">
        <v>24206</v>
      </c>
      <c r="J260" s="79">
        <v>5174</v>
      </c>
      <c r="K260" s="39"/>
      <c r="L260" s="39"/>
    </row>
    <row r="261" spans="1:12" ht="15">
      <c r="A261" s="618" t="s">
        <v>312</v>
      </c>
      <c r="B261" s="212">
        <v>7211</v>
      </c>
      <c r="C261" s="39"/>
      <c r="D261" s="39"/>
      <c r="E261" s="526">
        <v>0</v>
      </c>
      <c r="F261" s="579">
        <v>1458</v>
      </c>
      <c r="G261" s="39"/>
      <c r="H261" s="39"/>
      <c r="I261" s="79">
        <v>1458</v>
      </c>
      <c r="J261" s="79"/>
      <c r="K261" s="39"/>
      <c r="L261" s="39"/>
    </row>
    <row r="262" spans="1:12" ht="15">
      <c r="A262" s="618" t="s">
        <v>313</v>
      </c>
      <c r="B262" s="212"/>
      <c r="C262" s="39"/>
      <c r="D262" s="39"/>
      <c r="E262" s="526">
        <f>5114</f>
        <v>5114</v>
      </c>
      <c r="F262" s="579">
        <v>13548</v>
      </c>
      <c r="G262" s="39"/>
      <c r="H262" s="39"/>
      <c r="I262" s="79">
        <v>7960</v>
      </c>
      <c r="J262" s="79">
        <v>5588</v>
      </c>
      <c r="K262" s="39"/>
      <c r="L262" s="39"/>
    </row>
    <row r="263" spans="1:12" ht="15">
      <c r="A263" s="618" t="s">
        <v>314</v>
      </c>
      <c r="B263" s="212"/>
      <c r="C263" s="39"/>
      <c r="D263" s="39"/>
      <c r="E263" s="526">
        <f>1400</f>
        <v>1400</v>
      </c>
      <c r="F263" s="579">
        <v>1150</v>
      </c>
      <c r="G263" s="39"/>
      <c r="H263" s="39"/>
      <c r="I263" s="79">
        <v>1150</v>
      </c>
      <c r="J263" s="79"/>
      <c r="K263" s="39"/>
      <c r="L263" s="39"/>
    </row>
    <row r="264" spans="1:12" ht="15">
      <c r="A264" s="618" t="s">
        <v>315</v>
      </c>
      <c r="B264" s="212"/>
      <c r="C264" s="39"/>
      <c r="D264" s="39"/>
      <c r="E264" s="526">
        <f>5776+11859</f>
        <v>17635</v>
      </c>
      <c r="F264" s="579">
        <v>8632</v>
      </c>
      <c r="G264" s="39"/>
      <c r="H264" s="39"/>
      <c r="I264" s="79">
        <v>5513</v>
      </c>
      <c r="J264" s="79">
        <v>3119</v>
      </c>
      <c r="K264" s="39"/>
      <c r="L264" s="39"/>
    </row>
    <row r="265" spans="1:12" ht="15">
      <c r="A265" s="618" t="s">
        <v>316</v>
      </c>
      <c r="B265" s="212"/>
      <c r="C265" s="39"/>
      <c r="D265" s="39"/>
      <c r="E265" s="526">
        <f>97+953</f>
        <v>1050</v>
      </c>
      <c r="F265" s="579">
        <v>1691</v>
      </c>
      <c r="G265" s="39"/>
      <c r="H265" s="39"/>
      <c r="I265" s="79">
        <v>853</v>
      </c>
      <c r="J265" s="79">
        <v>838</v>
      </c>
      <c r="K265" s="39"/>
      <c r="L265" s="39"/>
    </row>
    <row r="266" spans="1:12" ht="15.75" thickBot="1">
      <c r="A266" s="618" t="s">
        <v>295</v>
      </c>
      <c r="B266" s="212"/>
      <c r="C266" s="39"/>
      <c r="D266" s="39"/>
      <c r="E266" s="527">
        <v>149874</v>
      </c>
      <c r="F266" s="580">
        <v>209024</v>
      </c>
      <c r="G266" s="39"/>
      <c r="H266" s="39"/>
      <c r="I266" s="62">
        <f>86669-237</f>
        <v>86432</v>
      </c>
      <c r="J266" s="62">
        <v>122592</v>
      </c>
      <c r="K266" s="39"/>
      <c r="L266" s="39"/>
    </row>
    <row r="267" spans="1:14" ht="15.75" thickBot="1">
      <c r="A267" s="206"/>
      <c r="B267" s="212"/>
      <c r="C267" s="39"/>
      <c r="D267" s="39"/>
      <c r="E267" s="571">
        <f>SUM(E257:E266)</f>
        <v>484357</v>
      </c>
      <c r="F267" s="578">
        <f>F257+F258+F259+F260+F261+F262+F263+F264+F265+F266</f>
        <v>594061</v>
      </c>
      <c r="G267" s="39"/>
      <c r="H267" s="39"/>
      <c r="I267" s="88">
        <f>I257+I258+I259+I260+I261+I262+I263+I264+I265+I266</f>
        <v>341715</v>
      </c>
      <c r="J267" s="88">
        <f>SUM(J257:J266)</f>
        <v>252346</v>
      </c>
      <c r="K267" s="39"/>
      <c r="L267" s="39"/>
      <c r="M267">
        <v>-484357</v>
      </c>
      <c r="N267">
        <v>-594061</v>
      </c>
    </row>
    <row r="268" spans="1:12" ht="9" customHeight="1" thickTop="1">
      <c r="A268" s="65"/>
      <c r="B268" s="212"/>
      <c r="C268" s="39"/>
      <c r="D268" s="39"/>
      <c r="E268" s="66"/>
      <c r="F268" s="59"/>
      <c r="G268" s="39"/>
      <c r="H268" s="39"/>
      <c r="I268" s="39"/>
      <c r="J268" s="39"/>
      <c r="K268" s="39"/>
      <c r="L268" s="39"/>
    </row>
    <row r="269" spans="1:12" ht="15">
      <c r="A269" s="43" t="s">
        <v>317</v>
      </c>
      <c r="B269" s="212">
        <v>7110</v>
      </c>
      <c r="C269" s="39"/>
      <c r="D269" s="39"/>
      <c r="E269" s="66"/>
      <c r="F269" s="59"/>
      <c r="G269" s="39"/>
      <c r="H269" s="39"/>
      <c r="I269" s="39"/>
      <c r="J269" s="39"/>
      <c r="K269" s="39"/>
      <c r="L269" s="39"/>
    </row>
    <row r="270" spans="1:12" ht="15">
      <c r="A270" s="52" t="s">
        <v>318</v>
      </c>
      <c r="B270" s="39"/>
      <c r="C270" s="39"/>
      <c r="D270" s="39"/>
      <c r="E270" s="66"/>
      <c r="F270" s="59"/>
      <c r="G270" s="39"/>
      <c r="H270" s="39"/>
      <c r="I270" s="39"/>
      <c r="J270" s="39"/>
      <c r="K270" s="39"/>
      <c r="L270" s="39"/>
    </row>
    <row r="271" spans="1:12" ht="15">
      <c r="A271" s="807" t="s">
        <v>319</v>
      </c>
      <c r="B271" s="807"/>
      <c r="C271" s="807"/>
      <c r="D271" s="39"/>
      <c r="E271" s="213"/>
      <c r="F271" s="208"/>
      <c r="G271" s="39"/>
      <c r="H271" s="39"/>
      <c r="I271" s="39"/>
      <c r="J271" s="39"/>
      <c r="K271" s="39"/>
      <c r="L271" s="39"/>
    </row>
    <row r="272" spans="1:12" ht="7.5" customHeight="1">
      <c r="A272" s="209"/>
      <c r="B272" s="39"/>
      <c r="C272" s="39"/>
      <c r="D272" s="39"/>
      <c r="E272" s="213"/>
      <c r="F272" s="208"/>
      <c r="G272" s="39"/>
      <c r="H272" s="39"/>
      <c r="I272" s="39"/>
      <c r="J272" s="39"/>
      <c r="K272" s="39"/>
      <c r="L272" s="39"/>
    </row>
    <row r="273" spans="1:12" ht="26.25" thickBot="1">
      <c r="A273" s="207" t="s">
        <v>290</v>
      </c>
      <c r="B273" s="39"/>
      <c r="C273" s="39"/>
      <c r="D273" s="54"/>
      <c r="E273" s="525" t="s">
        <v>876</v>
      </c>
      <c r="F273" s="572" t="s">
        <v>877</v>
      </c>
      <c r="G273" s="39"/>
      <c r="H273" s="39"/>
      <c r="I273" s="39" t="s">
        <v>145</v>
      </c>
      <c r="J273" s="39" t="s">
        <v>152</v>
      </c>
      <c r="K273" s="39" t="s">
        <v>154</v>
      </c>
      <c r="L273" s="39"/>
    </row>
    <row r="274" spans="1:12" ht="15">
      <c r="A274" s="618" t="s">
        <v>309</v>
      </c>
      <c r="B274" s="39"/>
      <c r="C274" s="39"/>
      <c r="D274" s="39"/>
      <c r="E274" s="526">
        <f>428151+175314-200000-100000-33374</f>
        <v>270091</v>
      </c>
      <c r="F274" s="579">
        <v>183717</v>
      </c>
      <c r="G274" s="39"/>
      <c r="H274" s="39"/>
      <c r="I274" s="79">
        <v>39976</v>
      </c>
      <c r="J274" s="79">
        <v>143741</v>
      </c>
      <c r="K274" s="39"/>
      <c r="L274" s="39"/>
    </row>
    <row r="275" spans="1:12" ht="15">
      <c r="A275" s="618" t="s">
        <v>320</v>
      </c>
      <c r="B275" s="39"/>
      <c r="C275" s="39"/>
      <c r="D275" s="39"/>
      <c r="E275" s="526">
        <f>88051</f>
        <v>88051</v>
      </c>
      <c r="F275" s="579">
        <v>76126</v>
      </c>
      <c r="G275" s="39"/>
      <c r="H275" s="39"/>
      <c r="I275" s="79"/>
      <c r="J275" s="79">
        <v>76126</v>
      </c>
      <c r="K275" s="39"/>
      <c r="L275" s="39"/>
    </row>
    <row r="276" spans="1:12" ht="15">
      <c r="A276" s="618" t="s">
        <v>313</v>
      </c>
      <c r="B276" s="39"/>
      <c r="C276" s="39"/>
      <c r="D276" s="39"/>
      <c r="E276" s="526">
        <f>34652+3384+13449+163-15000</f>
        <v>36648</v>
      </c>
      <c r="F276" s="579">
        <v>32203</v>
      </c>
      <c r="G276" s="39"/>
      <c r="H276" s="39"/>
      <c r="I276" s="79">
        <v>1959</v>
      </c>
      <c r="J276" s="79">
        <v>30244</v>
      </c>
      <c r="K276" s="39"/>
      <c r="L276" s="39"/>
    </row>
    <row r="277" spans="1:12" ht="25.5">
      <c r="A277" s="618" t="s">
        <v>311</v>
      </c>
      <c r="B277" s="39"/>
      <c r="C277" s="39"/>
      <c r="D277" s="39"/>
      <c r="E277" s="526">
        <f>48275+16736-10000-30000</f>
        <v>25011</v>
      </c>
      <c r="F277" s="579">
        <v>11265</v>
      </c>
      <c r="G277" s="39"/>
      <c r="H277" s="39"/>
      <c r="I277" s="79">
        <v>3644</v>
      </c>
      <c r="J277" s="79">
        <v>7621</v>
      </c>
      <c r="K277" s="39"/>
      <c r="L277" s="39"/>
    </row>
    <row r="278" spans="1:12" ht="15">
      <c r="A278" s="618" t="s">
        <v>223</v>
      </c>
      <c r="B278" s="39"/>
      <c r="C278" s="39"/>
      <c r="D278" s="39"/>
      <c r="E278" s="526">
        <f>13933+56448</f>
        <v>70381</v>
      </c>
      <c r="F278" s="579">
        <v>33538</v>
      </c>
      <c r="G278" s="39"/>
      <c r="H278" s="39"/>
      <c r="I278" s="79">
        <v>20859</v>
      </c>
      <c r="J278" s="79">
        <v>12679</v>
      </c>
      <c r="K278" s="39"/>
      <c r="L278" s="39"/>
    </row>
    <row r="279" spans="1:12" ht="15.75" thickBot="1">
      <c r="A279" s="618" t="s">
        <v>295</v>
      </c>
      <c r="B279" s="39"/>
      <c r="C279" s="39"/>
      <c r="D279" s="39"/>
      <c r="E279" s="527"/>
      <c r="F279" s="580">
        <v>78525</v>
      </c>
      <c r="G279" s="39"/>
      <c r="H279" s="39"/>
      <c r="I279" s="62">
        <v>27864</v>
      </c>
      <c r="J279" s="62">
        <v>50661</v>
      </c>
      <c r="K279" s="39"/>
      <c r="L279" s="39"/>
    </row>
    <row r="280" spans="1:14" ht="15.75" thickBot="1">
      <c r="A280" s="206"/>
      <c r="B280" s="39"/>
      <c r="C280" s="39"/>
      <c r="D280" s="39"/>
      <c r="E280" s="571">
        <f>SUM(E274:E279)</f>
        <v>490182</v>
      </c>
      <c r="F280" s="578">
        <f>F274+F275+F276+F277+F278+F279</f>
        <v>415374</v>
      </c>
      <c r="G280" s="39"/>
      <c r="H280" s="39"/>
      <c r="I280" s="88">
        <f>I274+I275+I276+I277+I278+I279</f>
        <v>94302</v>
      </c>
      <c r="J280" s="88">
        <f>J274+J275+J276+J277+J278+J279</f>
        <v>321072</v>
      </c>
      <c r="K280" s="39"/>
      <c r="L280" s="39"/>
      <c r="M280">
        <v>-490182</v>
      </c>
      <c r="N280">
        <v>415374</v>
      </c>
    </row>
    <row r="281" spans="1:12" s="10" customFormat="1" ht="15.75" thickTop="1">
      <c r="A281" s="202" t="s">
        <v>227</v>
      </c>
      <c r="B281" s="39"/>
      <c r="C281" s="39"/>
      <c r="D281" s="39"/>
      <c r="E281" s="223"/>
      <c r="F281" s="236"/>
      <c r="G281" s="39"/>
      <c r="H281" s="39"/>
      <c r="I281" s="237"/>
      <c r="J281" s="237"/>
      <c r="K281" s="39"/>
      <c r="L281" s="39"/>
    </row>
    <row r="282" spans="1:12" ht="15">
      <c r="A282" s="43" t="s">
        <v>321</v>
      </c>
      <c r="B282" s="10"/>
      <c r="C282" s="10"/>
      <c r="D282" s="10"/>
      <c r="E282" s="59"/>
      <c r="F282" s="59"/>
      <c r="G282" s="39"/>
      <c r="H282" s="39"/>
      <c r="I282" s="39"/>
      <c r="J282" s="39"/>
      <c r="K282" s="39"/>
      <c r="L282" s="39"/>
    </row>
    <row r="283" spans="1:12" ht="15">
      <c r="A283" s="214" t="s">
        <v>322</v>
      </c>
      <c r="B283" s="185"/>
      <c r="C283" s="187"/>
      <c r="D283" s="187"/>
      <c r="E283" s="208"/>
      <c r="F283" s="208"/>
      <c r="G283" s="39"/>
      <c r="H283" s="39"/>
      <c r="I283" s="39"/>
      <c r="J283" s="39"/>
      <c r="K283" s="39"/>
      <c r="L283" s="39"/>
    </row>
    <row r="284" spans="1:12" ht="54.75" customHeight="1">
      <c r="A284" s="802" t="s">
        <v>323</v>
      </c>
      <c r="B284" s="802"/>
      <c r="C284" s="802"/>
      <c r="D284" s="802"/>
      <c r="E284" s="802"/>
      <c r="F284" s="802"/>
      <c r="G284" s="39"/>
      <c r="H284" s="39"/>
      <c r="I284" s="39"/>
      <c r="J284" s="39"/>
      <c r="K284" s="39"/>
      <c r="L284" s="39"/>
    </row>
    <row r="285" spans="1:12" ht="15">
      <c r="A285" s="598" t="s">
        <v>324</v>
      </c>
      <c r="B285" s="599"/>
      <c r="C285" s="594"/>
      <c r="D285" s="594"/>
      <c r="E285" s="595"/>
      <c r="F285" s="595"/>
      <c r="G285" s="39"/>
      <c r="H285" s="39"/>
      <c r="I285" s="39"/>
      <c r="J285" s="39"/>
      <c r="K285" s="39"/>
      <c r="L285" s="39"/>
    </row>
    <row r="286" spans="1:18" ht="15">
      <c r="A286" s="600" t="s">
        <v>325</v>
      </c>
      <c r="B286" s="411"/>
      <c r="C286" s="411"/>
      <c r="D286" s="411"/>
      <c r="E286" s="592"/>
      <c r="F286" s="592"/>
      <c r="G286" s="39"/>
      <c r="H286" s="39"/>
      <c r="I286" s="39"/>
      <c r="J286" s="39"/>
      <c r="K286" s="39" t="s">
        <v>145</v>
      </c>
      <c r="L286" s="39"/>
      <c r="R286" s="10" t="s">
        <v>152</v>
      </c>
    </row>
    <row r="287" spans="1:24" ht="9" customHeight="1">
      <c r="A287" s="601"/>
      <c r="B287" s="411"/>
      <c r="C287" s="411"/>
      <c r="D287" s="411"/>
      <c r="E287" s="592"/>
      <c r="F287" s="592"/>
      <c r="G287" s="39"/>
      <c r="H287" s="39"/>
      <c r="I287" s="67"/>
      <c r="J287" s="10"/>
      <c r="K287" s="10"/>
      <c r="L287" s="10"/>
      <c r="X287" s="10" t="s">
        <v>154</v>
      </c>
    </row>
    <row r="288" spans="1:25" ht="113.25" thickBot="1">
      <c r="A288" s="620" t="s">
        <v>290</v>
      </c>
      <c r="B288" s="621" t="s">
        <v>326</v>
      </c>
      <c r="C288" s="621" t="s">
        <v>327</v>
      </c>
      <c r="D288" s="621" t="s">
        <v>295</v>
      </c>
      <c r="E288" s="622" t="s">
        <v>328</v>
      </c>
      <c r="F288" s="622" t="s">
        <v>329</v>
      </c>
      <c r="G288" s="54"/>
      <c r="H288" s="39"/>
      <c r="I288" s="81" t="s">
        <v>290</v>
      </c>
      <c r="J288" s="215" t="s">
        <v>326</v>
      </c>
      <c r="K288" s="215" t="s">
        <v>327</v>
      </c>
      <c r="L288" s="215" t="s">
        <v>295</v>
      </c>
      <c r="M288" s="231"/>
      <c r="N288" s="232"/>
      <c r="P288" s="68" t="s">
        <v>290</v>
      </c>
      <c r="Q288" s="69" t="s">
        <v>326</v>
      </c>
      <c r="R288" s="69" t="s">
        <v>327</v>
      </c>
      <c r="S288" s="69" t="s">
        <v>295</v>
      </c>
      <c r="T288" s="70" t="s">
        <v>328</v>
      </c>
      <c r="U288" s="70" t="s">
        <v>329</v>
      </c>
      <c r="X288" s="107" t="s">
        <v>388</v>
      </c>
      <c r="Y288" s="107"/>
    </row>
    <row r="289" spans="1:21" ht="15.75" thickBot="1">
      <c r="A289" s="623" t="s">
        <v>330</v>
      </c>
      <c r="B289" s="624"/>
      <c r="C289" s="625"/>
      <c r="D289" s="624"/>
      <c r="E289" s="624"/>
      <c r="F289" s="624"/>
      <c r="G289" s="39"/>
      <c r="H289" s="39"/>
      <c r="I289" s="216" t="s">
        <v>330</v>
      </c>
      <c r="J289" s="206"/>
      <c r="K289" s="206"/>
      <c r="L289" s="206"/>
      <c r="M289" s="232"/>
      <c r="N289" s="232"/>
      <c r="P289" s="71" t="s">
        <v>330</v>
      </c>
      <c r="Q289" s="72"/>
      <c r="R289" s="72"/>
      <c r="S289" s="72"/>
      <c r="T289" s="72"/>
      <c r="U289" s="72"/>
    </row>
    <row r="290" spans="1:24" ht="21" customHeight="1" thickBot="1">
      <c r="A290" s="618" t="s">
        <v>889</v>
      </c>
      <c r="B290" s="626">
        <f>22050+1064698-75523</f>
        <v>1011225</v>
      </c>
      <c r="C290" s="627">
        <f>218158+567574</f>
        <v>785732</v>
      </c>
      <c r="D290" s="626">
        <f>74915+796372-8266</f>
        <v>863021</v>
      </c>
      <c r="E290" s="626">
        <v>32118</v>
      </c>
      <c r="F290" s="626">
        <f>SUM(B290:E290)</f>
        <v>2692096</v>
      </c>
      <c r="G290" s="39"/>
      <c r="H290" s="39"/>
      <c r="I290" s="196" t="s">
        <v>382</v>
      </c>
      <c r="J290" s="217">
        <v>1738410</v>
      </c>
      <c r="K290" s="217">
        <v>562820</v>
      </c>
      <c r="L290" s="217">
        <v>107942</v>
      </c>
      <c r="M290" s="233">
        <f>F290-E290</f>
        <v>2659978</v>
      </c>
      <c r="N290" s="233"/>
      <c r="P290" s="71" t="s">
        <v>382</v>
      </c>
      <c r="Q290" s="91">
        <v>22051</v>
      </c>
      <c r="R290" s="91">
        <v>197651</v>
      </c>
      <c r="S290" s="91">
        <v>69395</v>
      </c>
      <c r="T290" s="91">
        <v>0</v>
      </c>
      <c r="U290" s="91">
        <f>Q290+R290+S290+T290</f>
        <v>289097</v>
      </c>
      <c r="X290">
        <v>142</v>
      </c>
    </row>
    <row r="291" spans="1:21" ht="15">
      <c r="A291" s="618" t="s">
        <v>331</v>
      </c>
      <c r="B291" s="628">
        <v>4910</v>
      </c>
      <c r="C291" s="629">
        <f>65330+27664-10000-15000</f>
        <v>67994</v>
      </c>
      <c r="D291" s="628">
        <f>7372+12938-949</f>
        <v>19361</v>
      </c>
      <c r="E291" s="628">
        <v>65303</v>
      </c>
      <c r="F291" s="223">
        <f>SUM(B291:E291)</f>
        <v>157568</v>
      </c>
      <c r="G291" s="39"/>
      <c r="H291" s="39"/>
      <c r="I291" s="196" t="s">
        <v>331</v>
      </c>
      <c r="J291" s="218"/>
      <c r="K291" s="218">
        <v>8127</v>
      </c>
      <c r="L291" s="218">
        <v>7577</v>
      </c>
      <c r="M291" s="233"/>
      <c r="N291" s="233"/>
      <c r="P291" s="45" t="s">
        <v>331</v>
      </c>
      <c r="Q291" s="53">
        <v>0</v>
      </c>
      <c r="R291" s="53">
        <v>4074</v>
      </c>
      <c r="S291" s="53">
        <v>2285</v>
      </c>
      <c r="T291" s="53">
        <v>0</v>
      </c>
      <c r="U291" s="53">
        <f>Q291+R291+S291+T291</f>
        <v>6359</v>
      </c>
    </row>
    <row r="292" spans="1:21" ht="15.75" thickBot="1">
      <c r="A292" s="618" t="s">
        <v>332</v>
      </c>
      <c r="B292" s="628">
        <v>600</v>
      </c>
      <c r="C292" s="629">
        <f>29097+1102</f>
        <v>30199</v>
      </c>
      <c r="D292" s="628">
        <f>2633+423</f>
        <v>3056</v>
      </c>
      <c r="E292" s="628"/>
      <c r="F292" s="223">
        <f>SUM(B292:E292)</f>
        <v>33855</v>
      </c>
      <c r="G292" s="39"/>
      <c r="H292" s="39"/>
      <c r="I292" s="196" t="s">
        <v>332</v>
      </c>
      <c r="J292" s="219">
        <v>602</v>
      </c>
      <c r="K292" s="219">
        <v>5488</v>
      </c>
      <c r="L292" s="219">
        <v>1977</v>
      </c>
      <c r="M292" s="233"/>
      <c r="N292" s="233"/>
      <c r="P292" s="45" t="s">
        <v>332</v>
      </c>
      <c r="Q292" s="61">
        <v>0</v>
      </c>
      <c r="R292" s="61">
        <v>2791</v>
      </c>
      <c r="S292" s="61">
        <v>1784</v>
      </c>
      <c r="T292" s="61">
        <v>0</v>
      </c>
      <c r="U292" s="61">
        <f>Q292+R292+S292+T292</f>
        <v>4575</v>
      </c>
    </row>
    <row r="293" spans="1:21" s="10" customFormat="1" ht="26.25" thickBot="1">
      <c r="A293" s="618" t="s">
        <v>880</v>
      </c>
      <c r="B293" s="630">
        <v>104661</v>
      </c>
      <c r="C293" s="631"/>
      <c r="D293" s="630"/>
      <c r="E293" s="630"/>
      <c r="F293" s="632">
        <f>SUM(B293:E293)</f>
        <v>104661</v>
      </c>
      <c r="G293" s="39"/>
      <c r="H293" s="39"/>
      <c r="I293" s="196"/>
      <c r="J293" s="219"/>
      <c r="K293" s="219"/>
      <c r="L293" s="219"/>
      <c r="M293" s="233"/>
      <c r="N293" s="233"/>
      <c r="P293" s="45"/>
      <c r="Q293" s="61"/>
      <c r="R293" s="61"/>
      <c r="S293" s="61"/>
      <c r="T293" s="61"/>
      <c r="U293" s="61"/>
    </row>
    <row r="294" spans="1:24" ht="18.75" customHeight="1" thickBot="1">
      <c r="A294" s="618" t="s">
        <v>890</v>
      </c>
      <c r="B294" s="633">
        <f>B290+B291-B292-B293</f>
        <v>910874</v>
      </c>
      <c r="C294" s="634">
        <f>C290+C291-C292</f>
        <v>823527</v>
      </c>
      <c r="D294" s="633">
        <f>D290+D291-D292</f>
        <v>879326</v>
      </c>
      <c r="E294" s="633">
        <f>E290+E291-E292</f>
        <v>97421</v>
      </c>
      <c r="F294" s="633">
        <f>F290+F291-F292-F293</f>
        <v>2711148</v>
      </c>
      <c r="G294" s="39"/>
      <c r="H294" s="39"/>
      <c r="I294" s="196" t="s">
        <v>385</v>
      </c>
      <c r="J294" s="219">
        <f>J290+J291-J292</f>
        <v>1737808</v>
      </c>
      <c r="K294" s="219">
        <f>K290+K291-K292</f>
        <v>565459</v>
      </c>
      <c r="L294" s="219">
        <f>L290+L291-L292</f>
        <v>113542</v>
      </c>
      <c r="M294" s="233">
        <f>F294-E294</f>
        <v>2613727</v>
      </c>
      <c r="P294" s="71" t="s">
        <v>385</v>
      </c>
      <c r="Q294" s="55">
        <f>Q290+Q291-Q292</f>
        <v>22051</v>
      </c>
      <c r="R294" s="55">
        <f>R290+R291-R292</f>
        <v>198934</v>
      </c>
      <c r="S294" s="55">
        <f>S290+S291-S292</f>
        <v>69896</v>
      </c>
      <c r="T294" s="55">
        <f>T290+T291-T292</f>
        <v>0</v>
      </c>
      <c r="U294" s="55">
        <f>U290+U291-U292</f>
        <v>290881</v>
      </c>
      <c r="X294">
        <v>142</v>
      </c>
    </row>
    <row r="295" spans="1:21" ht="27" thickBot="1">
      <c r="A295" s="635" t="s">
        <v>333</v>
      </c>
      <c r="B295" s="636"/>
      <c r="C295" s="637"/>
      <c r="D295" s="636"/>
      <c r="E295" s="636"/>
      <c r="F295" s="636"/>
      <c r="G295" s="39"/>
      <c r="H295" s="39"/>
      <c r="I295" s="220" t="s">
        <v>333</v>
      </c>
      <c r="J295" s="221"/>
      <c r="K295" s="221"/>
      <c r="L295" s="221"/>
      <c r="M295" s="233"/>
      <c r="N295" s="233"/>
      <c r="P295" s="73" t="s">
        <v>333</v>
      </c>
      <c r="Q295" s="75"/>
      <c r="R295" s="75"/>
      <c r="S295" s="75"/>
      <c r="T295" s="75"/>
      <c r="U295" s="75"/>
    </row>
    <row r="296" spans="1:21" ht="15.75" thickBot="1">
      <c r="A296" s="618" t="s">
        <v>889</v>
      </c>
      <c r="B296" s="626">
        <f>1949+274738-14443</f>
        <v>262244</v>
      </c>
      <c r="C296" s="627">
        <f>77454+435005-35771-70000</f>
        <v>406688</v>
      </c>
      <c r="D296" s="626">
        <f>24874+86970+1494</f>
        <v>113338</v>
      </c>
      <c r="E296" s="626"/>
      <c r="F296" s="626">
        <f>SUM(B296:E296)</f>
        <v>782270</v>
      </c>
      <c r="G296" s="39"/>
      <c r="H296" s="39"/>
      <c r="I296" s="196" t="s">
        <v>382</v>
      </c>
      <c r="J296" s="217">
        <v>222161</v>
      </c>
      <c r="K296" s="217">
        <v>379208</v>
      </c>
      <c r="L296" s="217">
        <v>62561</v>
      </c>
      <c r="M296" s="233"/>
      <c r="N296" s="233"/>
      <c r="P296" s="45" t="s">
        <v>382</v>
      </c>
      <c r="Q296" s="91">
        <v>1621</v>
      </c>
      <c r="R296" s="91">
        <v>46363</v>
      </c>
      <c r="S296" s="91">
        <v>12968</v>
      </c>
      <c r="T296" s="91"/>
      <c r="U296" s="91">
        <f>Q296+R296+S296+T296</f>
        <v>60952</v>
      </c>
    </row>
    <row r="297" spans="1:21" ht="20.25" customHeight="1">
      <c r="A297" s="618" t="s">
        <v>333</v>
      </c>
      <c r="B297" s="628">
        <f>26650+164+10000</f>
        <v>36814</v>
      </c>
      <c r="C297" s="629">
        <f>28507+16954+30000</f>
        <v>75461</v>
      </c>
      <c r="D297" s="628">
        <f>12528+6855+20000</f>
        <v>39383</v>
      </c>
      <c r="E297" s="628"/>
      <c r="F297" s="223">
        <f>SUM(B297:E297)</f>
        <v>151658</v>
      </c>
      <c r="G297" s="39"/>
      <c r="H297" s="39"/>
      <c r="I297" s="196" t="s">
        <v>333</v>
      </c>
      <c r="J297" s="218">
        <v>26630</v>
      </c>
      <c r="K297" s="218">
        <v>42377</v>
      </c>
      <c r="L297" s="218">
        <v>8341</v>
      </c>
      <c r="M297" s="233"/>
      <c r="N297" s="233"/>
      <c r="P297" s="45" t="s">
        <v>333</v>
      </c>
      <c r="Q297" s="79">
        <v>164</v>
      </c>
      <c r="R297" s="79">
        <v>15087</v>
      </c>
      <c r="S297" s="79">
        <v>5982</v>
      </c>
      <c r="T297" s="79"/>
      <c r="U297" s="79">
        <f>Q297+R297+S297+T297</f>
        <v>21233</v>
      </c>
    </row>
    <row r="298" spans="1:21" ht="15.75" thickBot="1">
      <c r="A298" s="618" t="s">
        <v>332</v>
      </c>
      <c r="B298" s="628">
        <v>600</v>
      </c>
      <c r="C298" s="629">
        <f>28892+1078</f>
        <v>29970</v>
      </c>
      <c r="D298" s="628">
        <f>2368+271</f>
        <v>2639</v>
      </c>
      <c r="E298" s="628"/>
      <c r="F298" s="223">
        <f>SUM(B298:E298)</f>
        <v>33209</v>
      </c>
      <c r="G298" s="39"/>
      <c r="H298" s="39"/>
      <c r="I298" s="196" t="s">
        <v>332</v>
      </c>
      <c r="J298" s="219">
        <v>602</v>
      </c>
      <c r="K298" s="219">
        <v>4473</v>
      </c>
      <c r="L298" s="219">
        <v>1433</v>
      </c>
      <c r="M298" s="233"/>
      <c r="N298" s="233"/>
      <c r="P298" s="45" t="s">
        <v>332</v>
      </c>
      <c r="Q298" s="62">
        <v>0</v>
      </c>
      <c r="R298" s="62">
        <v>1081</v>
      </c>
      <c r="S298" s="62">
        <v>613</v>
      </c>
      <c r="T298" s="62"/>
      <c r="U298" s="62">
        <f>Q298+R298+S298+T298</f>
        <v>1694</v>
      </c>
    </row>
    <row r="299" spans="1:21" s="10" customFormat="1" ht="26.25" thickBot="1">
      <c r="A299" s="618" t="s">
        <v>880</v>
      </c>
      <c r="B299" s="630">
        <v>15232</v>
      </c>
      <c r="C299" s="631"/>
      <c r="D299" s="630"/>
      <c r="E299" s="630"/>
      <c r="F299" s="632">
        <f>SUM(B299:E299)</f>
        <v>15232</v>
      </c>
      <c r="G299" s="39"/>
      <c r="H299" s="39"/>
      <c r="I299" s="196"/>
      <c r="J299" s="219"/>
      <c r="K299" s="219"/>
      <c r="L299" s="219"/>
      <c r="M299" s="233"/>
      <c r="N299" s="233"/>
      <c r="P299" s="45"/>
      <c r="Q299" s="62"/>
      <c r="R299" s="62"/>
      <c r="S299" s="62"/>
      <c r="T299" s="62"/>
      <c r="U299" s="62"/>
    </row>
    <row r="300" spans="1:21" ht="15.75" thickBot="1">
      <c r="A300" s="618" t="s">
        <v>890</v>
      </c>
      <c r="B300" s="633">
        <f>B296+B297-B298-B299</f>
        <v>283226</v>
      </c>
      <c r="C300" s="634">
        <f>C296+C297-C298</f>
        <v>452179</v>
      </c>
      <c r="D300" s="633">
        <f>D296+D297-D298</f>
        <v>150082</v>
      </c>
      <c r="E300" s="633">
        <f>E296+E297-E298</f>
        <v>0</v>
      </c>
      <c r="F300" s="633">
        <f>F296+F297-F298-F299</f>
        <v>885487</v>
      </c>
      <c r="G300" s="39"/>
      <c r="H300" s="39"/>
      <c r="I300" s="196" t="s">
        <v>385</v>
      </c>
      <c r="J300" s="219">
        <f>J296+J297-J298</f>
        <v>248189</v>
      </c>
      <c r="K300" s="219">
        <f>K296+K297-K298</f>
        <v>417112</v>
      </c>
      <c r="L300" s="219">
        <f>L296+L297-L298</f>
        <v>69469</v>
      </c>
      <c r="M300" s="233"/>
      <c r="N300" s="233"/>
      <c r="P300" s="45" t="s">
        <v>385</v>
      </c>
      <c r="Q300" s="90">
        <f>Q296+Q297-Q298</f>
        <v>1785</v>
      </c>
      <c r="R300" s="90">
        <f>R296+R297-R298</f>
        <v>60369</v>
      </c>
      <c r="S300" s="90">
        <f>S296+S297-S298</f>
        <v>18337</v>
      </c>
      <c r="T300" s="90">
        <f>T296+T297-T298</f>
        <v>0</v>
      </c>
      <c r="U300" s="90">
        <f>U296+U297-U298</f>
        <v>80491</v>
      </c>
    </row>
    <row r="301" spans="1:21" ht="26.25">
      <c r="A301" s="635" t="s">
        <v>334</v>
      </c>
      <c r="B301" s="636"/>
      <c r="C301" s="637"/>
      <c r="D301" s="636"/>
      <c r="E301" s="636"/>
      <c r="F301" s="636"/>
      <c r="G301" s="39"/>
      <c r="H301" s="39"/>
      <c r="I301" s="220" t="s">
        <v>334</v>
      </c>
      <c r="J301" s="221"/>
      <c r="K301" s="221"/>
      <c r="L301" s="221"/>
      <c r="M301" s="233"/>
      <c r="N301" s="233"/>
      <c r="P301" s="73" t="s">
        <v>334</v>
      </c>
      <c r="Q301" s="75"/>
      <c r="R301" s="75"/>
      <c r="S301" s="75"/>
      <c r="T301" s="75"/>
      <c r="U301" s="75"/>
    </row>
    <row r="302" spans="1:24" ht="15.75" thickBot="1">
      <c r="A302" s="618" t="s">
        <v>889</v>
      </c>
      <c r="B302" s="636">
        <f>B290-B296</f>
        <v>748981</v>
      </c>
      <c r="C302" s="637">
        <f>C290-C296</f>
        <v>379044</v>
      </c>
      <c r="D302" s="636">
        <f>D290-D296</f>
        <v>749683</v>
      </c>
      <c r="E302" s="636">
        <f>E290-E296</f>
        <v>32118</v>
      </c>
      <c r="F302" s="636">
        <f>F290-F296</f>
        <v>1909826</v>
      </c>
      <c r="G302" s="322"/>
      <c r="H302" s="323">
        <f>F302-E302</f>
        <v>1877708</v>
      </c>
      <c r="I302" s="324" t="s">
        <v>382</v>
      </c>
      <c r="J302" s="325">
        <f>J290-J296</f>
        <v>1516249</v>
      </c>
      <c r="K302" s="325">
        <f>K290-K296</f>
        <v>183612</v>
      </c>
      <c r="L302" s="325">
        <f>L290-L296</f>
        <v>45381</v>
      </c>
      <c r="M302" s="326">
        <f>F302-E302</f>
        <v>1877708</v>
      </c>
      <c r="N302" s="233">
        <v>-1877708</v>
      </c>
      <c r="O302" s="589"/>
      <c r="P302" s="45" t="s">
        <v>382</v>
      </c>
      <c r="Q302" s="74">
        <f>Q290-Q296</f>
        <v>20430</v>
      </c>
      <c r="R302" s="74">
        <f>R290-R296</f>
        <v>151288</v>
      </c>
      <c r="S302" s="74">
        <f>S290-S296</f>
        <v>56427</v>
      </c>
      <c r="T302" s="74">
        <f>T290-T296</f>
        <v>0</v>
      </c>
      <c r="U302" s="74">
        <f>Q302+R302+S302+T302</f>
        <v>228145</v>
      </c>
      <c r="X302">
        <v>142</v>
      </c>
    </row>
    <row r="303" spans="1:24" ht="26.25" thickBot="1">
      <c r="A303" s="618" t="s">
        <v>890</v>
      </c>
      <c r="B303" s="638">
        <f>B294-B300</f>
        <v>627648</v>
      </c>
      <c r="C303" s="639">
        <f>C294-C300</f>
        <v>371348</v>
      </c>
      <c r="D303" s="638">
        <f>D294-D300</f>
        <v>729244</v>
      </c>
      <c r="E303" s="638">
        <f>E294-E300</f>
        <v>97421</v>
      </c>
      <c r="F303" s="638">
        <f>F294-F300</f>
        <v>1825661</v>
      </c>
      <c r="G303" s="39"/>
      <c r="H303" s="76">
        <f>F303-E303</f>
        <v>1728240</v>
      </c>
      <c r="I303" s="196" t="s">
        <v>385</v>
      </c>
      <c r="J303" s="222">
        <f>J294-J300</f>
        <v>1489619</v>
      </c>
      <c r="K303" s="222">
        <f>K294-K300</f>
        <v>148347</v>
      </c>
      <c r="L303" s="222">
        <f>L294-L300</f>
        <v>44073</v>
      </c>
      <c r="M303" s="233">
        <f>F303-E303</f>
        <v>1728240</v>
      </c>
      <c r="N303" s="233">
        <v>-1728240</v>
      </c>
      <c r="O303" s="589"/>
      <c r="P303" s="45" t="s">
        <v>383</v>
      </c>
      <c r="Q303" s="77">
        <f>Q294-Q300</f>
        <v>20266</v>
      </c>
      <c r="R303" s="77">
        <f>R294-R300</f>
        <v>138565</v>
      </c>
      <c r="S303" s="77">
        <f>S294-S300</f>
        <v>51559</v>
      </c>
      <c r="T303" s="77">
        <f>T294-T300</f>
        <v>0</v>
      </c>
      <c r="U303" s="77">
        <f>Q303+R303+S303+T303</f>
        <v>210390</v>
      </c>
      <c r="X303">
        <v>142</v>
      </c>
    </row>
    <row r="304" spans="1:12" ht="15.75" thickTop="1">
      <c r="A304" s="602"/>
      <c r="B304" s="411"/>
      <c r="C304" s="411"/>
      <c r="D304" s="411"/>
      <c r="E304" s="592"/>
      <c r="F304" s="592"/>
      <c r="G304" s="39"/>
      <c r="H304" s="39"/>
      <c r="I304" s="39"/>
      <c r="J304" s="39"/>
      <c r="K304" s="39"/>
      <c r="L304" s="39"/>
    </row>
    <row r="305" spans="1:12" ht="15">
      <c r="A305" s="591" t="s">
        <v>335</v>
      </c>
      <c r="B305" s="411"/>
      <c r="C305" s="411"/>
      <c r="D305" s="411"/>
      <c r="E305" s="592"/>
      <c r="F305" s="592"/>
      <c r="G305" s="39"/>
      <c r="H305" s="39"/>
      <c r="I305" s="39"/>
      <c r="J305" s="39"/>
      <c r="K305" s="39"/>
      <c r="L305" s="39"/>
    </row>
    <row r="306" spans="1:12" ht="15">
      <c r="A306" s="591" t="s">
        <v>336</v>
      </c>
      <c r="B306" s="411"/>
      <c r="C306" s="411"/>
      <c r="D306" s="411"/>
      <c r="E306" s="592"/>
      <c r="F306" s="592"/>
      <c r="G306" s="39"/>
      <c r="H306" s="39"/>
      <c r="I306" s="39"/>
      <c r="J306" s="39"/>
      <c r="K306" s="39"/>
      <c r="L306" s="39"/>
    </row>
    <row r="307" spans="1:15" ht="15">
      <c r="A307" s="593" t="s">
        <v>337</v>
      </c>
      <c r="B307" s="594"/>
      <c r="C307" s="594"/>
      <c r="D307" s="594"/>
      <c r="E307" s="595"/>
      <c r="F307" s="595"/>
      <c r="G307" s="39"/>
      <c r="H307" s="39"/>
      <c r="I307" s="39"/>
      <c r="J307" s="39"/>
      <c r="K307" s="39"/>
      <c r="L307" s="39"/>
      <c r="O307" s="282">
        <v>-2797255182.97</v>
      </c>
    </row>
    <row r="308" spans="1:15" ht="30" customHeight="1" thickBot="1">
      <c r="A308" s="596" t="s">
        <v>338</v>
      </c>
      <c r="B308" s="86"/>
      <c r="C308" s="86"/>
      <c r="D308" s="594"/>
      <c r="E308" s="525" t="s">
        <v>878</v>
      </c>
      <c r="F308" s="581" t="s">
        <v>855</v>
      </c>
      <c r="G308" s="78"/>
      <c r="H308" s="39"/>
      <c r="I308" s="39" t="s">
        <v>145</v>
      </c>
      <c r="J308" s="39" t="s">
        <v>152</v>
      </c>
      <c r="K308" s="39" t="s">
        <v>154</v>
      </c>
      <c r="L308" s="39"/>
      <c r="O308" s="282">
        <v>807953.52</v>
      </c>
    </row>
    <row r="309" spans="1:18" ht="15">
      <c r="A309" s="86" t="s">
        <v>339</v>
      </c>
      <c r="B309" s="86"/>
      <c r="C309" s="86"/>
      <c r="D309" s="86"/>
      <c r="E309" s="526">
        <v>44011</v>
      </c>
      <c r="F309" s="582">
        <v>40430</v>
      </c>
      <c r="G309" s="39"/>
      <c r="H309" s="39"/>
      <c r="I309" s="93">
        <v>23410</v>
      </c>
      <c r="J309" s="95">
        <v>3338</v>
      </c>
      <c r="K309" s="39"/>
      <c r="L309" s="39"/>
      <c r="M309">
        <v>35774</v>
      </c>
      <c r="N309">
        <v>20850</v>
      </c>
      <c r="O309" s="282">
        <v>35913902.97</v>
      </c>
      <c r="P309">
        <v>33889</v>
      </c>
      <c r="Q309">
        <v>10122</v>
      </c>
      <c r="R309">
        <f>P309+Q309</f>
        <v>44011</v>
      </c>
    </row>
    <row r="310" spans="1:17" ht="15.75" thickBot="1">
      <c r="A310" s="597" t="s">
        <v>340</v>
      </c>
      <c r="B310" s="86"/>
      <c r="C310" s="86"/>
      <c r="D310" s="411"/>
      <c r="E310" s="527">
        <f>22249+1</f>
        <v>22250</v>
      </c>
      <c r="F310" s="583">
        <f>16407-1538+2</f>
        <v>14871</v>
      </c>
      <c r="G310" s="39"/>
      <c r="H310" s="39"/>
      <c r="I310" s="94">
        <v>16255</v>
      </c>
      <c r="J310" s="96">
        <v>2642</v>
      </c>
      <c r="K310" s="39"/>
      <c r="L310" s="39"/>
      <c r="O310" s="282">
        <v>11373667.15</v>
      </c>
      <c r="P310">
        <v>14925</v>
      </c>
      <c r="Q310">
        <v>7324</v>
      </c>
    </row>
    <row r="311" spans="1:17" ht="15">
      <c r="A311" s="597" t="s">
        <v>341</v>
      </c>
      <c r="B311" s="86"/>
      <c r="C311" s="86"/>
      <c r="D311" s="86"/>
      <c r="E311" s="524">
        <f>E309-E310</f>
        <v>21761</v>
      </c>
      <c r="F311" s="584">
        <f>F309-F310</f>
        <v>25559</v>
      </c>
      <c r="G311" s="39"/>
      <c r="H311" s="39"/>
      <c r="I311" s="92">
        <f>I309-I310</f>
        <v>7155</v>
      </c>
      <c r="J311" s="92">
        <f>J309-J310</f>
        <v>696</v>
      </c>
      <c r="K311" s="39"/>
      <c r="L311" s="39"/>
      <c r="M311">
        <v>22410</v>
      </c>
      <c r="O311" s="282">
        <v>7667612.46</v>
      </c>
      <c r="P311">
        <f>P309-P310</f>
        <v>18964</v>
      </c>
      <c r="Q311" s="10">
        <f>Q309-Q310</f>
        <v>2798</v>
      </c>
    </row>
    <row r="312" spans="1:15" ht="15">
      <c r="A312" s="39"/>
      <c r="B312" s="39"/>
      <c r="C312" s="39"/>
      <c r="D312" s="39"/>
      <c r="E312" s="40"/>
      <c r="F312" s="40"/>
      <c r="G312" s="39"/>
      <c r="H312" s="39"/>
      <c r="I312" s="39"/>
      <c r="J312" s="39"/>
      <c r="K312" s="39"/>
      <c r="L312" s="39"/>
      <c r="O312" s="282">
        <v>2035252888.58</v>
      </c>
    </row>
    <row r="313" spans="1:15" ht="15">
      <c r="A313" s="43" t="s">
        <v>342</v>
      </c>
      <c r="B313" s="10"/>
      <c r="C313" s="10"/>
      <c r="D313" s="39"/>
      <c r="E313" s="40"/>
      <c r="F313" s="40"/>
      <c r="G313" s="39"/>
      <c r="H313" s="39"/>
      <c r="I313" s="39"/>
      <c r="J313" s="39"/>
      <c r="K313" s="39"/>
      <c r="L313" s="39"/>
      <c r="O313" s="282">
        <v>95255.14</v>
      </c>
    </row>
    <row r="314" spans="1:15" ht="15">
      <c r="A314" s="52" t="s">
        <v>849</v>
      </c>
      <c r="B314" s="10"/>
      <c r="C314" s="10"/>
      <c r="D314" s="39"/>
      <c r="E314" s="40"/>
      <c r="F314" s="40"/>
      <c r="G314" s="39"/>
      <c r="H314" s="39"/>
      <c r="I314" s="39"/>
      <c r="J314" s="39"/>
      <c r="K314" s="39"/>
      <c r="L314" s="39"/>
      <c r="O314" s="282">
        <v>7422421.84</v>
      </c>
    </row>
    <row r="315" spans="1:15" ht="7.5" customHeight="1">
      <c r="A315" s="44"/>
      <c r="B315" s="10"/>
      <c r="C315" s="10"/>
      <c r="D315" s="39"/>
      <c r="E315" s="40"/>
      <c r="F315" s="40"/>
      <c r="G315" s="39"/>
      <c r="H315" s="39"/>
      <c r="I315" s="39"/>
      <c r="J315" s="39"/>
      <c r="K315" s="39"/>
      <c r="L315" s="39"/>
      <c r="O315" s="282">
        <v>218896360.71</v>
      </c>
    </row>
    <row r="316" spans="1:15" ht="26.25" thickBot="1">
      <c r="A316" s="81" t="s">
        <v>290</v>
      </c>
      <c r="B316" s="39"/>
      <c r="C316" s="39"/>
      <c r="D316" s="39"/>
      <c r="E316" s="525" t="s">
        <v>878</v>
      </c>
      <c r="F316" s="581" t="s">
        <v>855</v>
      </c>
      <c r="G316" s="78"/>
      <c r="H316" s="39"/>
      <c r="I316" s="39" t="s">
        <v>145</v>
      </c>
      <c r="J316" s="39" t="s">
        <v>152</v>
      </c>
      <c r="K316" s="39" t="s">
        <v>154</v>
      </c>
      <c r="L316" s="39"/>
      <c r="O316" s="282">
        <v>2151686.97</v>
      </c>
    </row>
    <row r="317" spans="1:19" ht="15">
      <c r="A317" s="196" t="s">
        <v>343</v>
      </c>
      <c r="B317" s="212">
        <v>1310</v>
      </c>
      <c r="C317" s="39"/>
      <c r="D317" s="39"/>
      <c r="E317" s="526">
        <f>234773+111724+74724</f>
        <v>421221</v>
      </c>
      <c r="F317" s="579">
        <f>97548+253635+47869-74353</f>
        <v>324699</v>
      </c>
      <c r="G317" s="39"/>
      <c r="H317" s="39"/>
      <c r="I317" s="99">
        <v>256944</v>
      </c>
      <c r="J317" s="99">
        <v>118911</v>
      </c>
      <c r="K317" s="39"/>
      <c r="L317" s="39"/>
      <c r="O317" s="282">
        <v>876001997.66</v>
      </c>
      <c r="P317" s="606">
        <v>1310</v>
      </c>
      <c r="Q317" s="607"/>
      <c r="R317" s="608">
        <v>253635304.73</v>
      </c>
      <c r="S317" s="588">
        <v>236207656.33</v>
      </c>
    </row>
    <row r="318" spans="1:19" ht="15">
      <c r="A318" s="196" t="s">
        <v>344</v>
      </c>
      <c r="B318" s="212">
        <v>1320</v>
      </c>
      <c r="C318" s="39"/>
      <c r="D318" s="39"/>
      <c r="E318" s="526">
        <v>191</v>
      </c>
      <c r="F318" s="579">
        <f>17030+112</f>
        <v>17142</v>
      </c>
      <c r="G318" s="39"/>
      <c r="H318" s="39"/>
      <c r="I318" s="99">
        <v>138</v>
      </c>
      <c r="J318" s="99">
        <v>390</v>
      </c>
      <c r="K318" s="39"/>
      <c r="L318" s="39"/>
      <c r="O318" s="282">
        <v>564780.78</v>
      </c>
      <c r="P318" s="606">
        <v>1311</v>
      </c>
      <c r="Q318" s="607"/>
      <c r="R318" s="608">
        <v>32216677.56</v>
      </c>
      <c r="S318" s="588">
        <v>31552368.34</v>
      </c>
    </row>
    <row r="319" spans="1:19" ht="15">
      <c r="A319" s="196" t="s">
        <v>345</v>
      </c>
      <c r="B319" s="212"/>
      <c r="C319" s="39"/>
      <c r="D319" s="39"/>
      <c r="E319" s="526">
        <v>332338</v>
      </c>
      <c r="F319" s="579">
        <v>201498</v>
      </c>
      <c r="G319" s="39"/>
      <c r="H319" s="39"/>
      <c r="I319" s="99"/>
      <c r="J319" s="99">
        <v>186203</v>
      </c>
      <c r="K319" s="39"/>
      <c r="L319" s="39"/>
      <c r="O319" s="282">
        <v>71808087.41</v>
      </c>
      <c r="P319" s="606">
        <v>1312</v>
      </c>
      <c r="Q319" s="607"/>
      <c r="R319" s="608">
        <v>4655625.27</v>
      </c>
      <c r="S319" s="588">
        <v>6009400.37</v>
      </c>
    </row>
    <row r="320" spans="1:19" ht="15.75" thickBot="1">
      <c r="A320" s="196" t="s">
        <v>346</v>
      </c>
      <c r="B320" s="212">
        <v>1311</v>
      </c>
      <c r="C320" s="39"/>
      <c r="D320" s="39"/>
      <c r="E320" s="527">
        <v>38156</v>
      </c>
      <c r="F320" s="579">
        <f>32216+4656+1</f>
        <v>36873</v>
      </c>
      <c r="G320" s="39"/>
      <c r="H320" s="39"/>
      <c r="I320" s="99">
        <v>37400</v>
      </c>
      <c r="J320" s="99"/>
      <c r="K320" s="39"/>
      <c r="L320" s="39"/>
      <c r="O320" s="282">
        <v>48041240.08</v>
      </c>
      <c r="P320" s="606">
        <v>1315</v>
      </c>
      <c r="Q320" s="607"/>
      <c r="R320" s="608">
        <v>47869384.92</v>
      </c>
      <c r="S320" s="588">
        <v>192809679.34</v>
      </c>
    </row>
    <row r="321" spans="1:18" ht="15.75" thickBot="1">
      <c r="A321" s="206"/>
      <c r="B321" s="39"/>
      <c r="C321" s="39"/>
      <c r="D321" s="39"/>
      <c r="E321" s="571">
        <f>SUM(E317:E320)</f>
        <v>791906</v>
      </c>
      <c r="F321" s="585">
        <f>F317+F318+F319+F320</f>
        <v>580212</v>
      </c>
      <c r="G321" s="39"/>
      <c r="H321" s="39"/>
      <c r="I321" s="98">
        <f>I317+I318+I319+I320</f>
        <v>294482</v>
      </c>
      <c r="J321" s="98">
        <f>J317+J318+J319+J320</f>
        <v>305504</v>
      </c>
      <c r="K321" s="39"/>
      <c r="L321" s="39"/>
      <c r="P321" s="606">
        <v>1320</v>
      </c>
      <c r="Q321" s="607"/>
      <c r="R321" s="608">
        <v>17030915.45</v>
      </c>
    </row>
    <row r="322" spans="1:12" ht="15.75" thickTop="1">
      <c r="A322" s="202" t="s">
        <v>227</v>
      </c>
      <c r="B322" s="39"/>
      <c r="C322" s="39"/>
      <c r="D322" s="39"/>
      <c r="E322" s="40"/>
      <c r="F322" s="15"/>
      <c r="G322" s="39"/>
      <c r="H322" s="39"/>
      <c r="I322" s="39"/>
      <c r="J322" s="39"/>
      <c r="K322" s="39"/>
      <c r="L322" s="39"/>
    </row>
    <row r="323" spans="1:12" ht="15">
      <c r="A323" s="43" t="s">
        <v>347</v>
      </c>
      <c r="B323" s="39"/>
      <c r="C323" s="39"/>
      <c r="D323" s="39"/>
      <c r="E323" s="40"/>
      <c r="F323" s="15"/>
      <c r="G323" s="39"/>
      <c r="H323" s="39"/>
      <c r="I323" s="39"/>
      <c r="J323" s="39"/>
      <c r="K323" s="39"/>
      <c r="L323" s="39"/>
    </row>
    <row r="324" spans="1:12" ht="15">
      <c r="A324" s="52" t="s">
        <v>348</v>
      </c>
      <c r="B324" s="39"/>
      <c r="C324" s="39"/>
      <c r="D324" s="39"/>
      <c r="E324" s="40"/>
      <c r="F324" s="40"/>
      <c r="G324" s="39"/>
      <c r="H324" s="39"/>
      <c r="I324" s="39"/>
      <c r="J324" s="39"/>
      <c r="K324" s="39"/>
      <c r="L324" s="39"/>
    </row>
    <row r="325" spans="1:12" ht="18.75" customHeight="1">
      <c r="A325" s="802" t="s">
        <v>349</v>
      </c>
      <c r="B325" s="802"/>
      <c r="C325" s="802"/>
      <c r="D325" s="802"/>
      <c r="E325" s="802"/>
      <c r="F325" s="802"/>
      <c r="G325" s="39"/>
      <c r="H325" s="39"/>
      <c r="I325" s="39"/>
      <c r="J325" s="39"/>
      <c r="K325" s="39"/>
      <c r="L325" s="39"/>
    </row>
    <row r="326" spans="1:12" ht="43.5" customHeight="1">
      <c r="A326" s="798" t="s">
        <v>350</v>
      </c>
      <c r="B326" s="798"/>
      <c r="C326" s="798"/>
      <c r="D326" s="798"/>
      <c r="E326" s="798"/>
      <c r="F326" s="798"/>
      <c r="G326" s="39"/>
      <c r="H326" s="39"/>
      <c r="I326" s="39"/>
      <c r="J326" s="39"/>
      <c r="K326" s="39"/>
      <c r="L326" s="39"/>
    </row>
    <row r="327" spans="1:12" ht="6" customHeight="1">
      <c r="A327" s="39"/>
      <c r="B327" s="39"/>
      <c r="C327" s="39"/>
      <c r="D327" s="39"/>
      <c r="E327" s="40"/>
      <c r="F327" s="40"/>
      <c r="G327" s="39"/>
      <c r="H327" s="39"/>
      <c r="I327" s="39"/>
      <c r="J327" s="39"/>
      <c r="K327" s="39"/>
      <c r="L327" s="39"/>
    </row>
    <row r="328" spans="1:12" ht="25.5" customHeight="1" thickBot="1">
      <c r="A328" s="81" t="s">
        <v>290</v>
      </c>
      <c r="B328" s="39"/>
      <c r="C328" s="39"/>
      <c r="D328" s="39"/>
      <c r="E328" s="525" t="s">
        <v>878</v>
      </c>
      <c r="F328" s="581" t="s">
        <v>855</v>
      </c>
      <c r="G328" s="78"/>
      <c r="H328" s="39"/>
      <c r="I328" s="39" t="s">
        <v>145</v>
      </c>
      <c r="J328" s="39" t="s">
        <v>152</v>
      </c>
      <c r="K328" s="39"/>
      <c r="L328" s="39"/>
    </row>
    <row r="329" spans="1:12" ht="15">
      <c r="A329" s="809" t="s">
        <v>351</v>
      </c>
      <c r="B329" s="809"/>
      <c r="C329" s="809"/>
      <c r="D329" s="39"/>
      <c r="E329" s="526">
        <v>116114</v>
      </c>
      <c r="F329" s="579">
        <v>125074</v>
      </c>
      <c r="G329" s="39"/>
      <c r="H329" s="39"/>
      <c r="I329" s="99">
        <v>519320</v>
      </c>
      <c r="J329" s="99">
        <v>179598</v>
      </c>
      <c r="K329" s="39">
        <v>-493697</v>
      </c>
      <c r="L329" s="39"/>
    </row>
    <row r="330" spans="1:12" ht="15.75" thickBot="1">
      <c r="A330" s="809" t="s">
        <v>352</v>
      </c>
      <c r="B330" s="809"/>
      <c r="C330" s="39"/>
      <c r="D330" s="39"/>
      <c r="E330" s="527">
        <v>76234</v>
      </c>
      <c r="F330" s="573">
        <v>161942</v>
      </c>
      <c r="G330" s="39"/>
      <c r="H330" s="39"/>
      <c r="I330" s="99">
        <v>168455</v>
      </c>
      <c r="J330" s="99"/>
      <c r="K330" s="39">
        <v>0</v>
      </c>
      <c r="L330" s="39"/>
    </row>
    <row r="331" spans="1:12" ht="15.75" thickBot="1">
      <c r="A331" s="56"/>
      <c r="B331" s="39"/>
      <c r="C331" s="39"/>
      <c r="D331" s="39"/>
      <c r="E331" s="571">
        <f>SUM(E329:E330)</f>
        <v>192348</v>
      </c>
      <c r="F331" s="585">
        <f>F329+F330</f>
        <v>287016</v>
      </c>
      <c r="G331" s="39"/>
      <c r="H331" s="39"/>
      <c r="I331" s="98">
        <f>I329+I330</f>
        <v>687775</v>
      </c>
      <c r="J331" s="98">
        <f>J329+J330</f>
        <v>179598</v>
      </c>
      <c r="K331" s="39">
        <v>-493697</v>
      </c>
      <c r="L331" s="76">
        <f>SUM(I331:K331)</f>
        <v>373676</v>
      </c>
    </row>
    <row r="332" spans="1:12" ht="15.75" thickTop="1">
      <c r="A332" s="39"/>
      <c r="B332" s="39"/>
      <c r="C332" s="39"/>
      <c r="D332" s="39"/>
      <c r="E332" s="15"/>
      <c r="F332" s="15"/>
      <c r="G332" s="39"/>
      <c r="H332" s="39"/>
      <c r="I332" s="39"/>
      <c r="J332" s="39"/>
      <c r="K332" s="39"/>
      <c r="L332" s="39"/>
    </row>
    <row r="333" spans="1:12" ht="15">
      <c r="A333" s="43" t="s">
        <v>353</v>
      </c>
      <c r="B333" s="10"/>
      <c r="C333" s="10"/>
      <c r="D333" s="39"/>
      <c r="E333" s="40"/>
      <c r="F333" s="40"/>
      <c r="G333" s="39"/>
      <c r="H333" s="39"/>
      <c r="I333" s="39"/>
      <c r="J333" s="39"/>
      <c r="K333" s="39"/>
      <c r="L333" s="39"/>
    </row>
    <row r="334" spans="1:12" ht="15">
      <c r="A334" s="52" t="s">
        <v>354</v>
      </c>
      <c r="B334" s="10"/>
      <c r="C334" s="10"/>
      <c r="D334" s="39"/>
      <c r="E334" s="40"/>
      <c r="F334" s="40"/>
      <c r="G334" s="39"/>
      <c r="H334" s="39"/>
      <c r="I334" s="39"/>
      <c r="J334" s="39"/>
      <c r="K334" s="39"/>
      <c r="L334" s="39"/>
    </row>
    <row r="335" spans="1:12" ht="4.5" customHeight="1">
      <c r="A335" s="44"/>
      <c r="B335" s="10"/>
      <c r="C335" s="10"/>
      <c r="D335" s="39"/>
      <c r="E335" s="40"/>
      <c r="F335" s="40"/>
      <c r="G335" s="39"/>
      <c r="H335" s="39"/>
      <c r="I335" s="39"/>
      <c r="J335" s="39"/>
      <c r="K335" s="39"/>
      <c r="L335" s="39"/>
    </row>
    <row r="336" spans="1:14" ht="26.25" thickBot="1">
      <c r="A336" s="81" t="s">
        <v>290</v>
      </c>
      <c r="B336" s="39"/>
      <c r="C336" s="39"/>
      <c r="D336" s="39"/>
      <c r="E336" s="525" t="s">
        <v>878</v>
      </c>
      <c r="F336" s="581" t="s">
        <v>855</v>
      </c>
      <c r="G336" s="78"/>
      <c r="H336" s="39"/>
      <c r="I336" s="39" t="s">
        <v>145</v>
      </c>
      <c r="J336" s="39" t="s">
        <v>152</v>
      </c>
      <c r="K336" s="39" t="s">
        <v>154</v>
      </c>
      <c r="L336" s="39"/>
      <c r="M336" s="39" t="s">
        <v>145</v>
      </c>
      <c r="N336" s="39" t="s">
        <v>152</v>
      </c>
    </row>
    <row r="337" spans="1:13" ht="15">
      <c r="A337" s="810" t="s">
        <v>355</v>
      </c>
      <c r="B337" s="810"/>
      <c r="C337" s="810"/>
      <c r="D337" s="39"/>
      <c r="E337" s="526">
        <v>20</v>
      </c>
      <c r="F337" s="579">
        <f>M337+N337</f>
        <v>19</v>
      </c>
      <c r="G337" s="39"/>
      <c r="H337" s="39"/>
      <c r="I337" s="99"/>
      <c r="J337" s="99">
        <v>0</v>
      </c>
      <c r="K337" s="39"/>
      <c r="L337" s="39"/>
      <c r="M337">
        <v>19</v>
      </c>
    </row>
    <row r="338" spans="1:14" ht="15">
      <c r="A338" s="118" t="s">
        <v>356</v>
      </c>
      <c r="B338" s="80"/>
      <c r="C338" s="80"/>
      <c r="D338" s="39"/>
      <c r="E338" s="526">
        <f>16451+225</f>
        <v>16676</v>
      </c>
      <c r="F338" s="579">
        <f>M338+N338</f>
        <v>26343</v>
      </c>
      <c r="G338" s="39"/>
      <c r="H338" s="39"/>
      <c r="I338" s="99">
        <v>116</v>
      </c>
      <c r="J338" s="99">
        <v>27511</v>
      </c>
      <c r="K338" s="39"/>
      <c r="L338" s="39"/>
      <c r="M338">
        <v>1612</v>
      </c>
      <c r="N338">
        <v>24731</v>
      </c>
    </row>
    <row r="339" spans="1:14" ht="15">
      <c r="A339" s="118" t="s">
        <v>357</v>
      </c>
      <c r="B339" s="80"/>
      <c r="C339" s="80"/>
      <c r="D339" s="39"/>
      <c r="E339" s="526">
        <v>23368</v>
      </c>
      <c r="F339" s="579">
        <f>M339+N339</f>
        <v>57246</v>
      </c>
      <c r="G339" s="39"/>
      <c r="H339" s="39"/>
      <c r="I339" s="99"/>
      <c r="J339" s="99">
        <v>53739</v>
      </c>
      <c r="K339" s="39"/>
      <c r="L339" s="39"/>
      <c r="M339">
        <v>0</v>
      </c>
      <c r="N339">
        <v>57246</v>
      </c>
    </row>
    <row r="340" spans="1:14" ht="15">
      <c r="A340" s="118" t="s">
        <v>358</v>
      </c>
      <c r="B340" s="80"/>
      <c r="C340" s="80"/>
      <c r="D340" s="39"/>
      <c r="E340" s="526">
        <f>30987+1762</f>
        <v>32749</v>
      </c>
      <c r="F340" s="579">
        <f>M340+N340+2</f>
        <v>20266</v>
      </c>
      <c r="G340" s="39"/>
      <c r="H340" s="39"/>
      <c r="I340" s="99">
        <v>112</v>
      </c>
      <c r="J340" s="99">
        <v>3555</v>
      </c>
      <c r="K340" s="39"/>
      <c r="L340" s="39"/>
      <c r="M340">
        <v>848</v>
      </c>
      <c r="N340">
        <v>19416</v>
      </c>
    </row>
    <row r="341" spans="1:14" ht="15.75" thickBot="1">
      <c r="A341" s="118" t="s">
        <v>359</v>
      </c>
      <c r="B341" s="80"/>
      <c r="C341" s="80"/>
      <c r="D341" s="39"/>
      <c r="E341" s="527">
        <v>8740</v>
      </c>
      <c r="F341" s="609">
        <f>M341+N341</f>
        <v>8740</v>
      </c>
      <c r="G341" s="39"/>
      <c r="H341" s="39"/>
      <c r="I341" s="101">
        <v>8740</v>
      </c>
      <c r="J341" s="101">
        <v>0</v>
      </c>
      <c r="K341" s="39"/>
      <c r="L341" s="39"/>
      <c r="M341">
        <v>8740</v>
      </c>
      <c r="N341">
        <v>0</v>
      </c>
    </row>
    <row r="342" spans="1:14" ht="15.75" thickBot="1">
      <c r="A342" s="224"/>
      <c r="B342" s="39"/>
      <c r="C342" s="39"/>
      <c r="D342" s="39"/>
      <c r="E342" s="590">
        <f>SUM(E337:E341)</f>
        <v>81553</v>
      </c>
      <c r="F342" s="578">
        <f>F337+F338+F339+F340+F341</f>
        <v>112614</v>
      </c>
      <c r="G342" s="39"/>
      <c r="H342" s="39"/>
      <c r="I342" s="100">
        <f>I337+I338+I339+I340+I341</f>
        <v>8968</v>
      </c>
      <c r="J342" s="100">
        <f>J337+J338+J339+J340+J341</f>
        <v>84805</v>
      </c>
      <c r="K342" s="39"/>
      <c r="L342" s="39"/>
      <c r="M342" s="589">
        <f>SUM(M337:M341)</f>
        <v>11219</v>
      </c>
      <c r="N342" s="589">
        <f>SUM(N338:N341)</f>
        <v>101393</v>
      </c>
    </row>
    <row r="343" spans="1:12" ht="15.75" thickTop="1">
      <c r="A343" s="39"/>
      <c r="B343" s="39"/>
      <c r="C343" s="39"/>
      <c r="D343" s="39"/>
      <c r="E343" s="40"/>
      <c r="F343" s="40"/>
      <c r="G343" s="39"/>
      <c r="H343" s="39"/>
      <c r="I343" s="39"/>
      <c r="J343" s="39"/>
      <c r="K343" s="39"/>
      <c r="L343" s="39"/>
    </row>
    <row r="344" spans="1:12" ht="15">
      <c r="A344" s="43" t="s">
        <v>360</v>
      </c>
      <c r="B344" s="10"/>
      <c r="C344" s="10"/>
      <c r="D344" s="39"/>
      <c r="E344" s="40"/>
      <c r="F344" s="40"/>
      <c r="G344" s="39"/>
      <c r="H344" s="39"/>
      <c r="I344" s="39"/>
      <c r="J344" s="39"/>
      <c r="K344" s="39"/>
      <c r="L344" s="39"/>
    </row>
    <row r="345" spans="1:12" ht="39" customHeight="1">
      <c r="A345" s="811" t="s">
        <v>361</v>
      </c>
      <c r="B345" s="811"/>
      <c r="C345" s="811"/>
      <c r="D345" s="811"/>
      <c r="E345" s="811"/>
      <c r="F345" s="811"/>
      <c r="G345" s="39"/>
      <c r="H345" s="39"/>
      <c r="I345" s="39"/>
      <c r="J345" s="39"/>
      <c r="K345" s="39"/>
      <c r="L345" s="39"/>
    </row>
    <row r="346" spans="1:12" ht="15">
      <c r="A346" s="65"/>
      <c r="B346" s="10"/>
      <c r="C346" s="10"/>
      <c r="D346" s="39"/>
      <c r="E346" s="40"/>
      <c r="F346" s="40"/>
      <c r="G346" s="39"/>
      <c r="H346" s="39"/>
      <c r="I346" s="39"/>
      <c r="J346" s="39"/>
      <c r="K346" s="39"/>
      <c r="L346" s="39"/>
    </row>
    <row r="347" spans="1:12" ht="15">
      <c r="A347" s="43" t="s">
        <v>362</v>
      </c>
      <c r="B347" s="10"/>
      <c r="C347" s="10"/>
      <c r="D347" s="39"/>
      <c r="E347" s="40"/>
      <c r="F347" s="40"/>
      <c r="G347" s="39"/>
      <c r="H347" s="39"/>
      <c r="I347" s="39"/>
      <c r="J347" s="39"/>
      <c r="K347" s="39"/>
      <c r="L347" s="39"/>
    </row>
    <row r="348" spans="1:12" ht="15">
      <c r="A348" s="811" t="s">
        <v>879</v>
      </c>
      <c r="B348" s="811"/>
      <c r="C348" s="811"/>
      <c r="D348" s="811"/>
      <c r="E348" s="811"/>
      <c r="F348" s="811"/>
      <c r="G348" s="39"/>
      <c r="H348" s="39"/>
      <c r="I348" s="39"/>
      <c r="J348" s="39"/>
      <c r="K348" s="39"/>
      <c r="L348" s="39"/>
    </row>
    <row r="349" spans="1:12" ht="15">
      <c r="A349" s="226"/>
      <c r="B349" s="10"/>
      <c r="C349" s="10"/>
      <c r="D349" s="39"/>
      <c r="E349" s="40"/>
      <c r="F349" s="40"/>
      <c r="G349" s="39"/>
      <c r="H349" s="39"/>
      <c r="I349" s="39"/>
      <c r="J349" s="39"/>
      <c r="K349" s="39"/>
      <c r="L349" s="39"/>
    </row>
    <row r="350" spans="1:12" ht="15">
      <c r="A350" s="43" t="s">
        <v>363</v>
      </c>
      <c r="B350" s="10"/>
      <c r="C350" s="10"/>
      <c r="D350" s="39"/>
      <c r="E350" s="40"/>
      <c r="F350" s="40"/>
      <c r="G350" s="39"/>
      <c r="H350" s="39"/>
      <c r="I350" s="39"/>
      <c r="J350" s="39"/>
      <c r="K350" s="39"/>
      <c r="L350" s="39"/>
    </row>
    <row r="351" spans="1:14" ht="26.25" thickBot="1">
      <c r="A351" s="207" t="s">
        <v>364</v>
      </c>
      <c r="B351" s="39"/>
      <c r="C351" s="39"/>
      <c r="D351" s="39"/>
      <c r="E351" s="525" t="s">
        <v>878</v>
      </c>
      <c r="F351" s="581" t="s">
        <v>855</v>
      </c>
      <c r="G351" s="39"/>
      <c r="H351" s="39"/>
      <c r="I351" s="39" t="s">
        <v>145</v>
      </c>
      <c r="J351" s="39" t="s">
        <v>152</v>
      </c>
      <c r="K351" s="39" t="s">
        <v>387</v>
      </c>
      <c r="L351" s="39"/>
      <c r="N351" s="588">
        <v>-46825588.98</v>
      </c>
    </row>
    <row r="352" spans="1:14" ht="15">
      <c r="A352" s="809" t="s">
        <v>846</v>
      </c>
      <c r="B352" s="809"/>
      <c r="C352" s="809"/>
      <c r="D352" s="39"/>
      <c r="E352" s="522">
        <v>981021</v>
      </c>
      <c r="F352" s="586">
        <v>879060</v>
      </c>
      <c r="G352" s="39"/>
      <c r="H352" s="39"/>
      <c r="I352" s="97">
        <v>315820</v>
      </c>
      <c r="J352" s="103">
        <v>795399</v>
      </c>
      <c r="K352" s="39">
        <v>-473697</v>
      </c>
      <c r="L352" s="76">
        <f>SUM(I352:K352)</f>
        <v>637522</v>
      </c>
      <c r="N352" s="588">
        <v>5407422.18</v>
      </c>
    </row>
    <row r="353" spans="1:14" ht="15">
      <c r="A353" s="810" t="s">
        <v>853</v>
      </c>
      <c r="B353" s="810"/>
      <c r="C353" s="810"/>
      <c r="D353" s="39"/>
      <c r="E353" s="522">
        <v>35231</v>
      </c>
      <c r="F353" s="586">
        <v>28861</v>
      </c>
      <c r="G353" s="39"/>
      <c r="H353" s="39"/>
      <c r="I353" s="99">
        <v>0</v>
      </c>
      <c r="J353" s="104">
        <v>0</v>
      </c>
      <c r="K353" s="39"/>
      <c r="L353" s="39"/>
      <c r="N353" s="588">
        <v>174669967.89</v>
      </c>
    </row>
    <row r="354" spans="1:14" ht="15">
      <c r="A354" s="810" t="s">
        <v>850</v>
      </c>
      <c r="B354" s="810"/>
      <c r="C354" s="810"/>
      <c r="D354" s="39"/>
      <c r="E354" s="522">
        <v>55653</v>
      </c>
      <c r="F354" s="586">
        <v>47373</v>
      </c>
      <c r="G354" s="39"/>
      <c r="H354" s="39"/>
      <c r="I354" s="97">
        <v>30567</v>
      </c>
      <c r="J354" s="103">
        <v>15162</v>
      </c>
      <c r="K354" s="39"/>
      <c r="L354" s="39"/>
      <c r="N354" s="588">
        <v>4316782.27</v>
      </c>
    </row>
    <row r="355" spans="1:14" ht="15">
      <c r="A355" s="810" t="s">
        <v>852</v>
      </c>
      <c r="B355" s="810"/>
      <c r="C355" s="810"/>
      <c r="D355" s="39"/>
      <c r="E355" s="522">
        <f>14850+23400</f>
        <v>38250</v>
      </c>
      <c r="F355" s="586">
        <v>34717</v>
      </c>
      <c r="G355" s="39"/>
      <c r="H355" s="39"/>
      <c r="I355" s="97">
        <v>29354</v>
      </c>
      <c r="J355" s="103">
        <v>3957</v>
      </c>
      <c r="K355" s="39"/>
      <c r="L355" s="39"/>
      <c r="N355" s="588">
        <v>-192923.95</v>
      </c>
    </row>
    <row r="356" spans="1:14" ht="15.75" thickBot="1">
      <c r="A356" s="810" t="s">
        <v>851</v>
      </c>
      <c r="B356" s="810"/>
      <c r="C356" s="810"/>
      <c r="D356" s="39"/>
      <c r="E356" s="527">
        <f>80891-38250</f>
        <v>42641</v>
      </c>
      <c r="F356" s="587">
        <f>78912-34717</f>
        <v>44195</v>
      </c>
      <c r="G356" s="39"/>
      <c r="H356" s="39"/>
      <c r="I356" s="102">
        <v>9848</v>
      </c>
      <c r="J356" s="105">
        <v>5125</v>
      </c>
      <c r="K356" s="39"/>
      <c r="L356" s="39"/>
      <c r="N356" s="588">
        <v>-10043</v>
      </c>
    </row>
    <row r="357" spans="1:15" ht="15.75" thickBot="1">
      <c r="A357" s="225"/>
      <c r="B357" s="39"/>
      <c r="C357" s="39"/>
      <c r="D357" s="39"/>
      <c r="E357" s="571">
        <f>SUM(E352:E356)</f>
        <v>1152796</v>
      </c>
      <c r="F357" s="578">
        <f>SUM(F352:F356)</f>
        <v>1034206</v>
      </c>
      <c r="G357" s="39"/>
      <c r="H357" s="39"/>
      <c r="I357" s="83">
        <f>I352+I353+I354+I355+I356</f>
        <v>385589</v>
      </c>
      <c r="J357" s="87">
        <f>J352+J353+J354+J355+J356</f>
        <v>819643</v>
      </c>
      <c r="K357" s="39">
        <f>K352</f>
        <v>-473697</v>
      </c>
      <c r="L357" s="76">
        <f>SUM(I357:K357)</f>
        <v>731535</v>
      </c>
      <c r="N357" s="588">
        <v>-913306.39</v>
      </c>
      <c r="O357" s="589">
        <f>E357-1507625+24467</f>
        <v>-330362</v>
      </c>
    </row>
    <row r="358" spans="1:14" ht="15.75" thickTop="1">
      <c r="A358" s="39"/>
      <c r="B358" s="39"/>
      <c r="C358" s="39"/>
      <c r="D358" s="39"/>
      <c r="E358" s="40"/>
      <c r="F358" s="40"/>
      <c r="G358" s="39"/>
      <c r="H358" s="39"/>
      <c r="I358" s="39"/>
      <c r="J358" s="39"/>
      <c r="K358" s="39"/>
      <c r="L358" s="39"/>
      <c r="N358" s="588">
        <v>-140122.58</v>
      </c>
    </row>
    <row r="359" spans="1:14" ht="15">
      <c r="A359" s="43" t="s">
        <v>365</v>
      </c>
      <c r="B359" s="10"/>
      <c r="C359" s="39"/>
      <c r="D359" s="39"/>
      <c r="E359" s="40"/>
      <c r="F359" s="40"/>
      <c r="G359" s="39"/>
      <c r="H359" s="39"/>
      <c r="I359" s="39"/>
      <c r="J359" s="39"/>
      <c r="K359" s="39"/>
      <c r="L359" s="39"/>
      <c r="N359" s="588">
        <v>5621544.5</v>
      </c>
    </row>
    <row r="360" spans="1:14" ht="15">
      <c r="A360" s="185" t="s">
        <v>366</v>
      </c>
      <c r="B360" s="185"/>
      <c r="C360" s="39"/>
      <c r="D360" s="39"/>
      <c r="E360" s="40"/>
      <c r="F360" s="40"/>
      <c r="G360" s="39"/>
      <c r="H360" s="39"/>
      <c r="I360" s="39"/>
      <c r="J360" s="39"/>
      <c r="K360" s="39"/>
      <c r="L360" s="39"/>
      <c r="N360" s="588">
        <v>4577756.35</v>
      </c>
    </row>
    <row r="361" spans="1:14" ht="21" customHeight="1">
      <c r="A361" s="190" t="s">
        <v>367</v>
      </c>
      <c r="B361" s="187"/>
      <c r="C361" s="39"/>
      <c r="D361" s="39"/>
      <c r="E361" s="40"/>
      <c r="F361" s="40"/>
      <c r="G361" s="39"/>
      <c r="H361" s="39"/>
      <c r="I361" s="39"/>
      <c r="J361" s="39"/>
      <c r="K361" s="39"/>
      <c r="L361" s="39"/>
      <c r="N361" s="588">
        <v>-96396.3</v>
      </c>
    </row>
    <row r="362" spans="1:12" ht="43.5" customHeight="1">
      <c r="A362" s="808" t="s">
        <v>368</v>
      </c>
      <c r="B362" s="808"/>
      <c r="C362" s="808"/>
      <c r="D362" s="808"/>
      <c r="E362" s="808"/>
      <c r="F362" s="808"/>
      <c r="G362" s="39"/>
      <c r="H362" s="39"/>
      <c r="I362" s="39"/>
      <c r="J362" s="39"/>
      <c r="K362" s="39"/>
      <c r="L362" s="39"/>
    </row>
    <row r="363" spans="1:12" ht="66" customHeight="1">
      <c r="A363" s="808" t="s">
        <v>369</v>
      </c>
      <c r="B363" s="808"/>
      <c r="C363" s="808"/>
      <c r="D363" s="808"/>
      <c r="E363" s="808"/>
      <c r="F363" s="808"/>
      <c r="G363" s="39"/>
      <c r="H363" s="39"/>
      <c r="I363" s="39"/>
      <c r="J363" s="39"/>
      <c r="K363" s="39"/>
      <c r="L363" s="39"/>
    </row>
    <row r="364" spans="1:12" s="10" customFormat="1" ht="19.5" customHeight="1">
      <c r="A364" s="43" t="s">
        <v>429</v>
      </c>
      <c r="B364" s="227"/>
      <c r="C364" s="227"/>
      <c r="D364" s="227"/>
      <c r="E364" s="227"/>
      <c r="F364" s="227"/>
      <c r="G364" s="39"/>
      <c r="H364" s="39"/>
      <c r="I364" s="39"/>
      <c r="J364" s="39"/>
      <c r="K364" s="39"/>
      <c r="L364" s="39"/>
    </row>
    <row r="365" spans="1:12" ht="19.5" customHeight="1">
      <c r="A365" s="812" t="s">
        <v>370</v>
      </c>
      <c r="B365" s="812"/>
      <c r="C365" s="81"/>
      <c r="D365" s="81"/>
      <c r="E365" s="82"/>
      <c r="F365" s="82"/>
      <c r="G365" s="39"/>
      <c r="H365" s="39"/>
      <c r="I365" s="39"/>
      <c r="J365" s="39"/>
      <c r="K365" s="39"/>
      <c r="L365" s="39"/>
    </row>
    <row r="366" spans="1:12" ht="28.5" customHeight="1">
      <c r="A366" s="808" t="s">
        <v>371</v>
      </c>
      <c r="B366" s="808"/>
      <c r="C366" s="808"/>
      <c r="D366" s="808"/>
      <c r="E366" s="808"/>
      <c r="F366" s="808"/>
      <c r="G366" s="39"/>
      <c r="H366" s="39"/>
      <c r="I366" s="39"/>
      <c r="J366" s="39"/>
      <c r="K366" s="39"/>
      <c r="L366" s="39"/>
    </row>
    <row r="367" spans="1:12" ht="19.5" customHeight="1">
      <c r="A367" s="812" t="s">
        <v>372</v>
      </c>
      <c r="B367" s="812"/>
      <c r="C367" s="812"/>
      <c r="D367" s="81"/>
      <c r="E367" s="82"/>
      <c r="F367" s="82"/>
      <c r="G367" s="39"/>
      <c r="H367" s="39"/>
      <c r="I367" s="39"/>
      <c r="J367" s="39"/>
      <c r="K367" s="39"/>
      <c r="L367" s="39"/>
    </row>
    <row r="368" spans="1:12" ht="65.25" customHeight="1">
      <c r="A368" s="808" t="s">
        <v>373</v>
      </c>
      <c r="B368" s="808"/>
      <c r="C368" s="808"/>
      <c r="D368" s="808"/>
      <c r="E368" s="808"/>
      <c r="F368" s="808"/>
      <c r="G368" s="39"/>
      <c r="H368" s="39"/>
      <c r="I368" s="39"/>
      <c r="J368" s="39"/>
      <c r="K368" s="39"/>
      <c r="L368" s="39"/>
    </row>
    <row r="369" spans="1:12" ht="65.25" customHeight="1">
      <c r="A369" s="808" t="s">
        <v>374</v>
      </c>
      <c r="B369" s="808"/>
      <c r="C369" s="808"/>
      <c r="D369" s="808"/>
      <c r="E369" s="808"/>
      <c r="F369" s="808"/>
      <c r="G369" s="39"/>
      <c r="H369" s="39"/>
      <c r="I369" s="39"/>
      <c r="J369" s="39"/>
      <c r="K369" s="39"/>
      <c r="L369" s="39"/>
    </row>
    <row r="370" spans="1:12" ht="26.25" customHeight="1">
      <c r="A370" s="229" t="s">
        <v>375</v>
      </c>
      <c r="B370" s="228"/>
      <c r="C370" s="81"/>
      <c r="D370" s="81"/>
      <c r="E370" s="82"/>
      <c r="F370" s="82"/>
      <c r="G370" s="39"/>
      <c r="H370" s="39"/>
      <c r="I370" s="39"/>
      <c r="J370" s="39"/>
      <c r="K370" s="39"/>
      <c r="L370" s="39"/>
    </row>
    <row r="371" spans="1:12" ht="27.75" customHeight="1">
      <c r="A371" s="808" t="s">
        <v>376</v>
      </c>
      <c r="B371" s="808"/>
      <c r="C371" s="808"/>
      <c r="D371" s="808"/>
      <c r="E371" s="808"/>
      <c r="F371" s="808"/>
      <c r="G371" s="39"/>
      <c r="H371" s="39"/>
      <c r="I371" s="39"/>
      <c r="J371" s="39"/>
      <c r="K371" s="39"/>
      <c r="L371" s="39"/>
    </row>
    <row r="372" spans="1:12" ht="33" customHeight="1">
      <c r="A372" s="808" t="s">
        <v>377</v>
      </c>
      <c r="B372" s="808"/>
      <c r="C372" s="808"/>
      <c r="D372" s="808"/>
      <c r="E372" s="808"/>
      <c r="F372" s="808"/>
      <c r="G372" s="39"/>
      <c r="H372" s="39"/>
      <c r="I372" s="39"/>
      <c r="J372" s="39"/>
      <c r="K372" s="39"/>
      <c r="L372" s="39"/>
    </row>
    <row r="373" spans="1:12" ht="51" customHeight="1">
      <c r="A373" s="808" t="s">
        <v>378</v>
      </c>
      <c r="B373" s="808"/>
      <c r="C373" s="808"/>
      <c r="D373" s="808"/>
      <c r="E373" s="808"/>
      <c r="F373" s="808"/>
      <c r="G373" s="39"/>
      <c r="H373" s="39"/>
      <c r="I373" s="39"/>
      <c r="J373" s="39"/>
      <c r="K373" s="39"/>
      <c r="L373" s="39"/>
    </row>
    <row r="374" spans="1:12" ht="22.5" customHeight="1">
      <c r="A374" s="228" t="s">
        <v>379</v>
      </c>
      <c r="B374" s="228"/>
      <c r="C374" s="81"/>
      <c r="D374" s="81"/>
      <c r="E374" s="82"/>
      <c r="F374" s="82"/>
      <c r="G374" s="39"/>
      <c r="H374" s="39"/>
      <c r="I374" s="39"/>
      <c r="J374" s="39"/>
      <c r="K374" s="39"/>
      <c r="L374" s="39"/>
    </row>
    <row r="375" spans="1:12" ht="32.25" customHeight="1">
      <c r="A375" s="808" t="s">
        <v>380</v>
      </c>
      <c r="B375" s="808"/>
      <c r="C375" s="808"/>
      <c r="D375" s="808"/>
      <c r="E375" s="808"/>
      <c r="F375" s="808"/>
      <c r="G375" s="39"/>
      <c r="H375" s="39"/>
      <c r="I375" s="39"/>
      <c r="J375" s="39"/>
      <c r="K375" s="39"/>
      <c r="L375" s="39"/>
    </row>
    <row r="376" spans="1:12" ht="15" hidden="1">
      <c r="A376" s="191"/>
      <c r="B376" s="187"/>
      <c r="C376" s="39"/>
      <c r="D376" s="39"/>
      <c r="E376" s="40"/>
      <c r="F376" s="40"/>
      <c r="G376" s="39"/>
      <c r="H376" s="39"/>
      <c r="I376" s="39"/>
      <c r="J376" s="39"/>
      <c r="K376" s="39"/>
      <c r="L376" s="39"/>
    </row>
    <row r="377" spans="1:12" ht="15">
      <c r="A377" s="191"/>
      <c r="B377" s="187"/>
      <c r="C377" s="39"/>
      <c r="D377" s="39"/>
      <c r="E377" s="40"/>
      <c r="F377" s="40"/>
      <c r="G377" s="39"/>
      <c r="H377" s="39"/>
      <c r="I377" s="39"/>
      <c r="J377" s="39"/>
      <c r="K377" s="39"/>
      <c r="L377" s="39"/>
    </row>
    <row r="378" spans="1:12" ht="15">
      <c r="A378" s="191"/>
      <c r="B378" s="187"/>
      <c r="C378" s="39"/>
      <c r="D378" s="39"/>
      <c r="E378" s="40"/>
      <c r="F378" s="40"/>
      <c r="G378" s="39"/>
      <c r="H378" s="39"/>
      <c r="I378" s="39"/>
      <c r="J378" s="39"/>
      <c r="K378" s="39"/>
      <c r="L378" s="39"/>
    </row>
    <row r="379" spans="1:12" ht="15">
      <c r="A379" s="191" t="s">
        <v>847</v>
      </c>
      <c r="B379" s="187"/>
      <c r="C379" s="39"/>
      <c r="D379" s="39"/>
      <c r="E379" s="40"/>
      <c r="F379" s="40"/>
      <c r="G379" s="39"/>
      <c r="H379" s="39"/>
      <c r="I379" s="39"/>
      <c r="J379" s="39"/>
      <c r="K379" s="39"/>
      <c r="L379" s="39"/>
    </row>
    <row r="380" spans="1:12" ht="15">
      <c r="A380" s="191"/>
      <c r="B380" s="187"/>
      <c r="C380" s="39"/>
      <c r="D380" s="39"/>
      <c r="E380" s="40"/>
      <c r="F380" s="40"/>
      <c r="G380" s="39"/>
      <c r="H380" s="39"/>
      <c r="I380" s="39"/>
      <c r="J380" s="39"/>
      <c r="K380" s="39"/>
      <c r="L380" s="39"/>
    </row>
    <row r="381" spans="1:12" ht="15">
      <c r="A381" s="191"/>
      <c r="B381" s="187"/>
      <c r="C381" s="39"/>
      <c r="D381" s="39"/>
      <c r="E381" s="40"/>
      <c r="F381" s="40"/>
      <c r="G381" s="39"/>
      <c r="H381" s="39"/>
      <c r="I381" s="39"/>
      <c r="J381" s="39"/>
      <c r="K381" s="39"/>
      <c r="L381" s="39"/>
    </row>
    <row r="382" spans="1:12" ht="15">
      <c r="A382" s="191" t="s">
        <v>381</v>
      </c>
      <c r="B382" s="187"/>
      <c r="C382" s="39"/>
      <c r="D382" s="39"/>
      <c r="E382" s="40"/>
      <c r="F382" s="40"/>
      <c r="G382" s="39"/>
      <c r="H382" s="39"/>
      <c r="I382" s="39"/>
      <c r="J382" s="39"/>
      <c r="K382" s="39"/>
      <c r="L382" s="39"/>
    </row>
  </sheetData>
  <sheetProtection/>
  <mergeCells count="128">
    <mergeCell ref="A21:F21"/>
    <mergeCell ref="A356:C356"/>
    <mergeCell ref="A362:F362"/>
    <mergeCell ref="A363:F363"/>
    <mergeCell ref="A365:B365"/>
    <mergeCell ref="A366:F366"/>
    <mergeCell ref="A353:C353"/>
    <mergeCell ref="A354:C354"/>
    <mergeCell ref="A355:C355"/>
    <mergeCell ref="A210:C210"/>
    <mergeCell ref="A367:C367"/>
    <mergeCell ref="A368:F368"/>
    <mergeCell ref="A369:F369"/>
    <mergeCell ref="A371:F371"/>
    <mergeCell ref="A372:F372"/>
    <mergeCell ref="A373:F373"/>
    <mergeCell ref="A375:F375"/>
    <mergeCell ref="A284:F284"/>
    <mergeCell ref="A325:F325"/>
    <mergeCell ref="A326:F326"/>
    <mergeCell ref="A329:C329"/>
    <mergeCell ref="A330:B330"/>
    <mergeCell ref="A337:C337"/>
    <mergeCell ref="A345:F345"/>
    <mergeCell ref="A348:F348"/>
    <mergeCell ref="A352:C352"/>
    <mergeCell ref="A211:C211"/>
    <mergeCell ref="A212:C212"/>
    <mergeCell ref="A213:C213"/>
    <mergeCell ref="A217:B217"/>
    <mergeCell ref="A229:C229"/>
    <mergeCell ref="A241:C241"/>
    <mergeCell ref="A244:B244"/>
    <mergeCell ref="A245:B245"/>
    <mergeCell ref="A250:F250"/>
    <mergeCell ref="A254:C254"/>
    <mergeCell ref="A271:C271"/>
    <mergeCell ref="A188:F188"/>
    <mergeCell ref="A191:F191"/>
    <mergeCell ref="A192:F192"/>
    <mergeCell ref="A195:F195"/>
    <mergeCell ref="A198:F198"/>
    <mergeCell ref="A201:F201"/>
    <mergeCell ref="A202:F202"/>
    <mergeCell ref="A203:F203"/>
    <mergeCell ref="A204:F204"/>
    <mergeCell ref="A207:F207"/>
    <mergeCell ref="A208:F208"/>
    <mergeCell ref="A209:C209"/>
    <mergeCell ref="A166:F166"/>
    <mergeCell ref="A169:F169"/>
    <mergeCell ref="A172:F172"/>
    <mergeCell ref="A173:F173"/>
    <mergeCell ref="A176:F176"/>
    <mergeCell ref="A177:F177"/>
    <mergeCell ref="A180:F180"/>
    <mergeCell ref="A181:F181"/>
    <mergeCell ref="A182:F182"/>
    <mergeCell ref="A183:F183"/>
    <mergeCell ref="A184:F184"/>
    <mergeCell ref="A187:F187"/>
    <mergeCell ref="A141:F141"/>
    <mergeCell ref="A142:F142"/>
    <mergeCell ref="A143:F143"/>
    <mergeCell ref="A145:F145"/>
    <mergeCell ref="A146:F146"/>
    <mergeCell ref="A148:F148"/>
    <mergeCell ref="A151:F151"/>
    <mergeCell ref="A152:F152"/>
    <mergeCell ref="A156:F156"/>
    <mergeCell ref="A157:F157"/>
    <mergeCell ref="A160:F160"/>
    <mergeCell ref="A163:F163"/>
    <mergeCell ref="A120:F120"/>
    <mergeCell ref="A122:F122"/>
    <mergeCell ref="A124:F124"/>
    <mergeCell ref="A125:F125"/>
    <mergeCell ref="A126:F126"/>
    <mergeCell ref="A127:F127"/>
    <mergeCell ref="A128:F128"/>
    <mergeCell ref="A129:F129"/>
    <mergeCell ref="A133:F133"/>
    <mergeCell ref="A134:F134"/>
    <mergeCell ref="A137:F137"/>
    <mergeCell ref="A138:F138"/>
    <mergeCell ref="A135:F135"/>
    <mergeCell ref="A91:F91"/>
    <mergeCell ref="A92:F92"/>
    <mergeCell ref="A94:F94"/>
    <mergeCell ref="A95:F95"/>
    <mergeCell ref="A96:F96"/>
    <mergeCell ref="A98:F98"/>
    <mergeCell ref="A100:F100"/>
    <mergeCell ref="A101:F101"/>
    <mergeCell ref="A102:F102"/>
    <mergeCell ref="A105:F105"/>
    <mergeCell ref="A108:F108"/>
    <mergeCell ref="A119:F119"/>
    <mergeCell ref="A74:F74"/>
    <mergeCell ref="A75:F75"/>
    <mergeCell ref="A76:F76"/>
    <mergeCell ref="A77:F77"/>
    <mergeCell ref="A79:F79"/>
    <mergeCell ref="A82:F82"/>
    <mergeCell ref="A89:F89"/>
    <mergeCell ref="A90:F90"/>
    <mergeCell ref="A60:F60"/>
    <mergeCell ref="A61:F61"/>
    <mergeCell ref="A62:F62"/>
    <mergeCell ref="A63:F63"/>
    <mergeCell ref="A64:F64"/>
    <mergeCell ref="A68:F68"/>
    <mergeCell ref="A69:F69"/>
    <mergeCell ref="A70:F70"/>
    <mergeCell ref="A52:F52"/>
    <mergeCell ref="A53:F53"/>
    <mergeCell ref="A54:F54"/>
    <mergeCell ref="A55:F55"/>
    <mergeCell ref="A56:F56"/>
    <mergeCell ref="A59:F59"/>
    <mergeCell ref="A65:F65"/>
    <mergeCell ref="A66:F66"/>
    <mergeCell ref="A67:F67"/>
    <mergeCell ref="A84:F84"/>
    <mergeCell ref="A87:F87"/>
    <mergeCell ref="A88:F88"/>
    <mergeCell ref="A71:F71"/>
    <mergeCell ref="A72:F72"/>
  </mergeCells>
  <printOptions/>
  <pageMargins left="0.9055118110236221" right="0.5118110236220472" top="0.5511811023622047" bottom="0.5511811023622047" header="0.31496062992125984" footer="0.31496062992125984"/>
  <pageSetup horizontalDpi="600" verticalDpi="600" orientation="portrait" paperSize="9" scale="89" r:id="rId1"/>
  <headerFooter>
    <oddFooter>&amp;C&amp;P</oddFooter>
  </headerFooter>
  <rowBreaks count="11" manualBreakCount="11">
    <brk id="48" max="5" man="1"/>
    <brk id="79" max="5" man="1"/>
    <brk id="103" max="255" man="1"/>
    <brk id="130" max="255" man="1"/>
    <brk id="148" max="255" man="1"/>
    <brk id="177" max="5" man="1"/>
    <brk id="195" max="5" man="1"/>
    <brk id="225" max="5" man="1"/>
    <brk id="280" max="5" man="1"/>
    <brk id="321" max="5" man="1"/>
    <brk id="363" max="5" man="1"/>
  </rowBreaks>
  <colBreaks count="1" manualBreakCount="1">
    <brk id="6" max="65535" man="1"/>
  </colBreaks>
</worksheet>
</file>

<file path=xl/worksheets/sheet12.xml><?xml version="1.0" encoding="utf-8"?>
<worksheet xmlns="http://schemas.openxmlformats.org/spreadsheetml/2006/main" xmlns:r="http://schemas.openxmlformats.org/officeDocument/2006/relationships">
  <dimension ref="A1:N143"/>
  <sheetViews>
    <sheetView zoomScalePageLayoutView="0" workbookViewId="0" topLeftCell="A20">
      <selection activeCell="B42" sqref="B42:B43"/>
    </sheetView>
  </sheetViews>
  <sheetFormatPr defaultColWidth="28.57421875" defaultRowHeight="15"/>
  <sheetData>
    <row r="1" spans="1:13" ht="15">
      <c r="A1" s="613" t="s">
        <v>692</v>
      </c>
      <c r="B1" s="611">
        <v>268603374.16</v>
      </c>
      <c r="C1" s="611">
        <v>268603374.18</v>
      </c>
      <c r="D1" s="612"/>
      <c r="E1" s="612"/>
      <c r="F1" s="611">
        <v>1955711633.63</v>
      </c>
      <c r="G1" s="611">
        <v>1955711633.63</v>
      </c>
      <c r="H1" s="611">
        <v>3278501821.3900003</v>
      </c>
      <c r="I1" s="611">
        <v>3278501821.3900003</v>
      </c>
      <c r="J1" s="611">
        <v>-1054186813.6</v>
      </c>
      <c r="K1" s="611">
        <v>-1054186813.58</v>
      </c>
      <c r="L1" s="612"/>
      <c r="M1" s="612"/>
    </row>
    <row r="2" spans="1:14" ht="22.5">
      <c r="A2" s="613" t="s">
        <v>709</v>
      </c>
      <c r="B2" s="612"/>
      <c r="C2" s="612"/>
      <c r="D2" s="612"/>
      <c r="E2" s="612"/>
      <c r="F2" s="611">
        <v>651444017.66</v>
      </c>
      <c r="G2" s="611">
        <v>651444017.66</v>
      </c>
      <c r="H2" s="612"/>
      <c r="I2" s="612"/>
      <c r="J2" s="611">
        <v>651444017.66</v>
      </c>
      <c r="K2" s="611">
        <v>651444017.66</v>
      </c>
      <c r="L2" s="612"/>
      <c r="M2" s="612"/>
      <c r="N2" s="266"/>
    </row>
    <row r="3" spans="1:13" ht="22.5">
      <c r="A3" s="613" t="s">
        <v>866</v>
      </c>
      <c r="B3" s="612"/>
      <c r="C3" s="612"/>
      <c r="D3" s="612"/>
      <c r="E3" s="612"/>
      <c r="F3" s="611">
        <v>2261961.7</v>
      </c>
      <c r="G3" s="611">
        <v>2261961.7</v>
      </c>
      <c r="H3" s="612"/>
      <c r="I3" s="612"/>
      <c r="J3" s="611">
        <v>2261961.7</v>
      </c>
      <c r="K3" s="611">
        <v>2261961.7</v>
      </c>
      <c r="L3" s="612"/>
      <c r="M3" s="612"/>
    </row>
    <row r="4" spans="1:14" ht="22.5">
      <c r="A4" s="613" t="s">
        <v>867</v>
      </c>
      <c r="B4" s="612"/>
      <c r="C4" s="612"/>
      <c r="D4" s="612"/>
      <c r="E4" s="612"/>
      <c r="F4" s="611">
        <v>5277098.15</v>
      </c>
      <c r="G4" s="611">
        <v>5277098.15</v>
      </c>
      <c r="H4" s="612"/>
      <c r="I4" s="612"/>
      <c r="J4" s="611">
        <v>5277098.15</v>
      </c>
      <c r="K4" s="611">
        <v>5277098.15</v>
      </c>
      <c r="L4" s="612"/>
      <c r="M4" s="612"/>
      <c r="N4" s="266"/>
    </row>
    <row r="5" spans="1:13" ht="22.5">
      <c r="A5" s="613" t="s">
        <v>868</v>
      </c>
      <c r="B5" s="612"/>
      <c r="C5" s="612"/>
      <c r="D5" s="612"/>
      <c r="E5" s="612"/>
      <c r="F5" s="611">
        <v>1274559.51</v>
      </c>
      <c r="G5" s="611">
        <v>1274559.51</v>
      </c>
      <c r="H5" s="612"/>
      <c r="I5" s="612"/>
      <c r="J5" s="611">
        <v>1274559.51</v>
      </c>
      <c r="K5" s="611">
        <v>1274559.51</v>
      </c>
      <c r="L5" s="612"/>
      <c r="M5" s="612"/>
    </row>
    <row r="6" spans="1:14" ht="22.5">
      <c r="A6" s="613" t="s">
        <v>697</v>
      </c>
      <c r="B6" s="612"/>
      <c r="C6" s="612"/>
      <c r="D6" s="612"/>
      <c r="E6" s="612"/>
      <c r="F6" s="611">
        <v>67662482.03</v>
      </c>
      <c r="G6" s="611">
        <v>67662482.03</v>
      </c>
      <c r="H6" s="611">
        <v>14068.11</v>
      </c>
      <c r="I6" s="611">
        <v>14068.11</v>
      </c>
      <c r="J6" s="611">
        <v>67648413.92</v>
      </c>
      <c r="K6" s="611">
        <v>67648413.92</v>
      </c>
      <c r="L6" s="612"/>
      <c r="M6" s="612"/>
      <c r="N6" s="266"/>
    </row>
    <row r="7" spans="1:13" ht="22.5">
      <c r="A7" s="613" t="s">
        <v>783</v>
      </c>
      <c r="B7" s="612"/>
      <c r="C7" s="612"/>
      <c r="D7" s="612"/>
      <c r="E7" s="612"/>
      <c r="F7" s="611">
        <v>2966276.59</v>
      </c>
      <c r="G7" s="611">
        <v>2966276.59</v>
      </c>
      <c r="H7" s="612"/>
      <c r="I7" s="612"/>
      <c r="J7" s="611">
        <v>2966276.59</v>
      </c>
      <c r="K7" s="611">
        <v>2966276.59</v>
      </c>
      <c r="L7" s="612"/>
      <c r="M7" s="612"/>
    </row>
    <row r="8" spans="1:13" ht="22.5">
      <c r="A8" s="613" t="s">
        <v>784</v>
      </c>
      <c r="B8" s="612"/>
      <c r="C8" s="612"/>
      <c r="D8" s="612"/>
      <c r="E8" s="612"/>
      <c r="F8" s="611">
        <v>18702069.62</v>
      </c>
      <c r="G8" s="611">
        <v>18702069.62</v>
      </c>
      <c r="H8" s="612"/>
      <c r="I8" s="612"/>
      <c r="J8" s="611">
        <v>18702069.62</v>
      </c>
      <c r="K8" s="611">
        <v>18702069.62</v>
      </c>
      <c r="L8" s="612"/>
      <c r="M8" s="612"/>
    </row>
    <row r="9" spans="1:13" ht="22.5">
      <c r="A9" s="613" t="s">
        <v>869</v>
      </c>
      <c r="B9" s="612"/>
      <c r="C9" s="612"/>
      <c r="D9" s="612"/>
      <c r="E9" s="612"/>
      <c r="F9" s="611">
        <v>2931512.83</v>
      </c>
      <c r="G9" s="611">
        <v>2931512.83</v>
      </c>
      <c r="H9" s="612"/>
      <c r="I9" s="612"/>
      <c r="J9" s="611">
        <v>2931512.83</v>
      </c>
      <c r="K9" s="611">
        <v>2931512.83</v>
      </c>
      <c r="L9" s="612"/>
      <c r="M9" s="612"/>
    </row>
    <row r="10" spans="1:13" ht="22.5">
      <c r="A10" s="613" t="s">
        <v>711</v>
      </c>
      <c r="B10" s="612"/>
      <c r="C10" s="612"/>
      <c r="D10" s="612"/>
      <c r="E10" s="612"/>
      <c r="F10" s="611">
        <v>15215321.29</v>
      </c>
      <c r="G10" s="611">
        <v>15215321.29</v>
      </c>
      <c r="H10" s="612"/>
      <c r="I10" s="612"/>
      <c r="J10" s="611">
        <v>15215321.29</v>
      </c>
      <c r="K10" s="611">
        <v>15215321.29</v>
      </c>
      <c r="L10" s="612"/>
      <c r="M10" s="612"/>
    </row>
    <row r="11" spans="1:13" ht="22.5">
      <c r="A11" s="613" t="s">
        <v>785</v>
      </c>
      <c r="B11" s="612"/>
      <c r="C11" s="612"/>
      <c r="D11" s="612"/>
      <c r="E11" s="612"/>
      <c r="F11" s="611">
        <v>11203195.15</v>
      </c>
      <c r="G11" s="611">
        <v>11203195.15</v>
      </c>
      <c r="H11" s="612"/>
      <c r="I11" s="612"/>
      <c r="J11" s="611">
        <v>11203195.15</v>
      </c>
      <c r="K11" s="611">
        <v>11203195.15</v>
      </c>
      <c r="L11" s="612"/>
      <c r="M11" s="612"/>
    </row>
    <row r="12" spans="1:13" ht="22.5">
      <c r="A12" s="613" t="s">
        <v>698</v>
      </c>
      <c r="B12" s="612"/>
      <c r="C12" s="612"/>
      <c r="D12" s="612"/>
      <c r="E12" s="612"/>
      <c r="F12" s="611">
        <v>248056832.18</v>
      </c>
      <c r="G12" s="611">
        <v>248056832.18</v>
      </c>
      <c r="H12" s="611">
        <v>291073.96</v>
      </c>
      <c r="I12" s="611">
        <v>291073.96</v>
      </c>
      <c r="J12" s="611">
        <v>247765758.22</v>
      </c>
      <c r="K12" s="611">
        <v>247765758.22</v>
      </c>
      <c r="L12" s="612"/>
      <c r="M12" s="612"/>
    </row>
    <row r="13" spans="1:13" ht="22.5">
      <c r="A13" s="613" t="s">
        <v>782</v>
      </c>
      <c r="B13" s="612"/>
      <c r="C13" s="612"/>
      <c r="D13" s="612"/>
      <c r="E13" s="612"/>
      <c r="F13" s="611">
        <v>52382031.59</v>
      </c>
      <c r="G13" s="611">
        <v>52382031.59</v>
      </c>
      <c r="H13" s="611">
        <v>61976.67</v>
      </c>
      <c r="I13" s="611">
        <v>61976.67</v>
      </c>
      <c r="J13" s="611">
        <v>52320054.92</v>
      </c>
      <c r="K13" s="611">
        <v>52320054.92</v>
      </c>
      <c r="L13" s="612"/>
      <c r="M13" s="612"/>
    </row>
    <row r="14" spans="1:13" ht="22.5">
      <c r="A14" s="613" t="s">
        <v>870</v>
      </c>
      <c r="B14" s="612"/>
      <c r="C14" s="612"/>
      <c r="D14" s="612"/>
      <c r="E14" s="612"/>
      <c r="F14" s="611">
        <v>827187.85</v>
      </c>
      <c r="G14" s="611">
        <v>827187.85</v>
      </c>
      <c r="H14" s="612"/>
      <c r="I14" s="612"/>
      <c r="J14" s="611">
        <v>827187.85</v>
      </c>
      <c r="K14" s="611">
        <v>827187.85</v>
      </c>
      <c r="L14" s="612"/>
      <c r="M14" s="612"/>
    </row>
    <row r="15" spans="1:13" ht="22.5">
      <c r="A15" s="613" t="s">
        <v>714</v>
      </c>
      <c r="B15" s="612"/>
      <c r="C15" s="612"/>
      <c r="D15" s="612"/>
      <c r="E15" s="612"/>
      <c r="F15" s="611">
        <v>8138890.37</v>
      </c>
      <c r="G15" s="611">
        <v>8138890.37</v>
      </c>
      <c r="H15" s="612"/>
      <c r="I15" s="612"/>
      <c r="J15" s="611">
        <v>8138890.37</v>
      </c>
      <c r="K15" s="611">
        <v>8138890.37</v>
      </c>
      <c r="L15" s="612"/>
      <c r="M15" s="612"/>
    </row>
    <row r="16" ht="15">
      <c r="C16" s="610"/>
    </row>
    <row r="17" spans="1:3" ht="15">
      <c r="A17" s="615" t="s">
        <v>508</v>
      </c>
      <c r="B17" s="611">
        <v>301706.9</v>
      </c>
      <c r="C17" s="610"/>
    </row>
    <row r="18" spans="1:3" ht="15">
      <c r="A18" s="615" t="s">
        <v>545</v>
      </c>
      <c r="B18" s="611">
        <v>59727.67</v>
      </c>
      <c r="C18" s="610"/>
    </row>
    <row r="19" spans="1:3" ht="15">
      <c r="A19" s="615" t="s">
        <v>546</v>
      </c>
      <c r="B19" s="611">
        <v>853308.86</v>
      </c>
      <c r="C19" s="610"/>
    </row>
    <row r="20" spans="1:3" ht="15">
      <c r="A20" s="615" t="s">
        <v>548</v>
      </c>
      <c r="B20" s="611">
        <v>847838.84</v>
      </c>
      <c r="C20" s="610"/>
    </row>
    <row r="21" spans="1:3" ht="15">
      <c r="A21" s="615" t="s">
        <v>637</v>
      </c>
      <c r="B21" s="611">
        <v>16071428.52</v>
      </c>
      <c r="C21" s="610"/>
    </row>
    <row r="22" spans="1:3" ht="15">
      <c r="A22" s="615" t="s">
        <v>549</v>
      </c>
      <c r="B22" s="611">
        <v>267857.16</v>
      </c>
      <c r="C22" s="610"/>
    </row>
    <row r="23" spans="1:3" ht="22.5">
      <c r="A23" s="615" t="s">
        <v>625</v>
      </c>
      <c r="B23" s="611">
        <v>5359073.16</v>
      </c>
      <c r="C23" s="610"/>
    </row>
    <row r="24" spans="1:3" ht="15">
      <c r="A24" s="615" t="s">
        <v>509</v>
      </c>
      <c r="B24" s="611">
        <v>1130608.62</v>
      </c>
      <c r="C24" s="610"/>
    </row>
    <row r="25" spans="1:3" ht="22.5">
      <c r="A25" s="615" t="s">
        <v>629</v>
      </c>
      <c r="B25" s="611">
        <v>10854583.85</v>
      </c>
      <c r="C25" s="610"/>
    </row>
    <row r="26" spans="1:3" ht="15">
      <c r="A26" s="615" t="s">
        <v>511</v>
      </c>
      <c r="B26" s="611">
        <v>1184655.34</v>
      </c>
      <c r="C26" s="610"/>
    </row>
    <row r="27" spans="1:3" ht="15">
      <c r="A27" s="615" t="s">
        <v>512</v>
      </c>
      <c r="B27" s="611">
        <v>12540300.28</v>
      </c>
      <c r="C27" s="610"/>
    </row>
    <row r="28" spans="1:3" ht="15">
      <c r="A28" s="615" t="s">
        <v>513</v>
      </c>
      <c r="B28" s="611">
        <v>1558814.29</v>
      </c>
      <c r="C28" s="610"/>
    </row>
    <row r="29" spans="1:3" ht="15">
      <c r="A29" s="615" t="s">
        <v>550</v>
      </c>
      <c r="B29" s="611">
        <v>53155</v>
      </c>
      <c r="C29" s="610"/>
    </row>
    <row r="30" spans="1:3" ht="15">
      <c r="A30" s="615" t="s">
        <v>514</v>
      </c>
      <c r="B30" s="611">
        <v>234044.08</v>
      </c>
      <c r="C30" s="610"/>
    </row>
    <row r="31" spans="1:3" ht="22.5">
      <c r="A31" s="615" t="s">
        <v>551</v>
      </c>
      <c r="B31" s="611">
        <v>147410</v>
      </c>
      <c r="C31" s="610"/>
    </row>
    <row r="32" spans="1:3" ht="15">
      <c r="A32" s="615" t="s">
        <v>552</v>
      </c>
      <c r="B32" s="611">
        <v>29000</v>
      </c>
      <c r="C32" s="610"/>
    </row>
    <row r="33" spans="1:3" ht="15">
      <c r="A33" s="615" t="s">
        <v>515</v>
      </c>
      <c r="B33" s="611">
        <v>293678.58</v>
      </c>
      <c r="C33" s="610"/>
    </row>
    <row r="34" spans="1:3" ht="15">
      <c r="A34" s="615" t="s">
        <v>881</v>
      </c>
      <c r="B34" s="611">
        <v>5174.11</v>
      </c>
      <c r="C34" s="610"/>
    </row>
    <row r="35" spans="1:3" ht="15">
      <c r="A35" s="615" t="s">
        <v>516</v>
      </c>
      <c r="B35" s="611">
        <v>428150709</v>
      </c>
      <c r="C35" s="610"/>
    </row>
    <row r="36" spans="1:3" ht="22.5">
      <c r="A36" s="615" t="s">
        <v>555</v>
      </c>
      <c r="B36" s="611">
        <v>39034.06</v>
      </c>
      <c r="C36" s="610"/>
    </row>
    <row r="37" spans="1:3" ht="22.5">
      <c r="A37" s="615" t="s">
        <v>556</v>
      </c>
      <c r="B37" s="611">
        <v>73110</v>
      </c>
      <c r="C37" s="610"/>
    </row>
    <row r="38" spans="1:3" ht="15">
      <c r="A38" s="615" t="s">
        <v>557</v>
      </c>
      <c r="B38" s="611">
        <v>116782</v>
      </c>
      <c r="C38" s="610"/>
    </row>
    <row r="39" spans="1:3" ht="15">
      <c r="A39" s="615" t="s">
        <v>558</v>
      </c>
      <c r="B39" s="611">
        <v>7624.06</v>
      </c>
      <c r="C39" s="610"/>
    </row>
    <row r="40" spans="1:3" ht="22.5">
      <c r="A40" s="615" t="s">
        <v>559</v>
      </c>
      <c r="B40" s="611">
        <v>9196.43</v>
      </c>
      <c r="C40" s="610"/>
    </row>
    <row r="41" spans="1:3" ht="15">
      <c r="A41" s="615" t="s">
        <v>517</v>
      </c>
      <c r="B41" s="611">
        <v>4017844.84</v>
      </c>
      <c r="C41" s="610"/>
    </row>
    <row r="42" spans="1:3" ht="15">
      <c r="A42" s="615" t="s">
        <v>561</v>
      </c>
      <c r="B42" s="611">
        <v>4370945.55</v>
      </c>
      <c r="C42" s="610"/>
    </row>
    <row r="43" spans="1:3" ht="15">
      <c r="A43" s="615" t="s">
        <v>518</v>
      </c>
      <c r="B43" s="611">
        <v>52076998.83</v>
      </c>
      <c r="C43" s="610"/>
    </row>
    <row r="44" spans="1:3" ht="15">
      <c r="A44" s="615" t="s">
        <v>562</v>
      </c>
      <c r="B44" s="611">
        <v>682249.79</v>
      </c>
      <c r="C44" s="610"/>
    </row>
    <row r="45" spans="1:3" ht="15">
      <c r="A45" s="615" t="s">
        <v>638</v>
      </c>
      <c r="B45" s="611">
        <v>93800</v>
      </c>
      <c r="C45" s="610"/>
    </row>
    <row r="46" spans="1:3" ht="15">
      <c r="A46" s="615" t="s">
        <v>519</v>
      </c>
      <c r="B46" s="611">
        <v>398221.59</v>
      </c>
      <c r="C46" s="610"/>
    </row>
    <row r="47" spans="1:3" ht="15">
      <c r="A47" s="615" t="s">
        <v>563</v>
      </c>
      <c r="B47" s="611">
        <v>269437.5</v>
      </c>
      <c r="C47" s="610"/>
    </row>
    <row r="48" spans="1:3" ht="15">
      <c r="A48" s="615" t="s">
        <v>520</v>
      </c>
      <c r="B48" s="611">
        <v>883737.56</v>
      </c>
      <c r="C48" s="610"/>
    </row>
    <row r="49" spans="1:3" ht="15">
      <c r="A49" s="615" t="s">
        <v>521</v>
      </c>
      <c r="B49" s="611">
        <v>564078.03</v>
      </c>
      <c r="C49" s="610"/>
    </row>
    <row r="50" spans="1:3" ht="22.5">
      <c r="A50" s="615" t="s">
        <v>522</v>
      </c>
      <c r="B50" s="611">
        <v>50169</v>
      </c>
      <c r="C50" s="610"/>
    </row>
    <row r="51" spans="1:3" ht="22.5">
      <c r="A51" s="615" t="s">
        <v>565</v>
      </c>
      <c r="B51" s="611">
        <v>666667</v>
      </c>
      <c r="C51" s="610"/>
    </row>
    <row r="52" spans="1:3" ht="15">
      <c r="A52" s="615" t="s">
        <v>566</v>
      </c>
      <c r="B52" s="611">
        <v>27267.86</v>
      </c>
      <c r="C52" s="610"/>
    </row>
    <row r="53" spans="1:3" ht="15">
      <c r="A53" s="615" t="s">
        <v>567</v>
      </c>
      <c r="B53" s="611">
        <v>15000</v>
      </c>
      <c r="C53" s="610"/>
    </row>
    <row r="54" spans="1:3" ht="22.5">
      <c r="A54" s="615" t="s">
        <v>568</v>
      </c>
      <c r="B54" s="611">
        <v>991416.69</v>
      </c>
      <c r="C54" s="610"/>
    </row>
    <row r="55" spans="1:3" ht="22.5">
      <c r="A55" s="615" t="s">
        <v>569</v>
      </c>
      <c r="B55" s="611">
        <v>71368.99</v>
      </c>
      <c r="C55" s="610"/>
    </row>
    <row r="56" spans="1:3" ht="22.5">
      <c r="A56" s="615" t="s">
        <v>570</v>
      </c>
      <c r="B56" s="611">
        <v>934415.95</v>
      </c>
      <c r="C56" s="610"/>
    </row>
    <row r="57" spans="1:3" ht="22.5">
      <c r="A57" s="615" t="s">
        <v>571</v>
      </c>
      <c r="B57" s="611">
        <v>3600000</v>
      </c>
      <c r="C57" s="610"/>
    </row>
    <row r="58" spans="1:3" ht="22.5">
      <c r="A58" s="615" t="s">
        <v>572</v>
      </c>
      <c r="B58" s="611">
        <v>138100</v>
      </c>
      <c r="C58" s="610"/>
    </row>
    <row r="59" spans="1:3" ht="15">
      <c r="A59" s="615" t="s">
        <v>574</v>
      </c>
      <c r="B59" s="611">
        <v>97000</v>
      </c>
      <c r="C59" s="610"/>
    </row>
    <row r="60" spans="1:3" ht="15">
      <c r="A60" s="615" t="s">
        <v>631</v>
      </c>
      <c r="B60" s="611">
        <v>1126.8</v>
      </c>
      <c r="C60" s="610"/>
    </row>
    <row r="61" spans="1:3" ht="15">
      <c r="A61" s="615" t="s">
        <v>636</v>
      </c>
      <c r="B61" s="611">
        <v>163074.34</v>
      </c>
      <c r="C61" s="610"/>
    </row>
    <row r="62" spans="1:3" ht="15">
      <c r="A62" s="615" t="s">
        <v>575</v>
      </c>
      <c r="B62" s="611">
        <v>120000</v>
      </c>
      <c r="C62" s="610"/>
    </row>
    <row r="63" spans="1:3" ht="15">
      <c r="A63" s="615" t="s">
        <v>576</v>
      </c>
      <c r="B63" s="611">
        <v>414870.3</v>
      </c>
      <c r="C63" s="610"/>
    </row>
    <row r="64" spans="1:3" ht="15">
      <c r="A64" s="615" t="s">
        <v>577</v>
      </c>
      <c r="B64" s="611">
        <v>70160.11</v>
      </c>
      <c r="C64" s="610"/>
    </row>
    <row r="65" spans="1:3" ht="15">
      <c r="A65" s="615" t="s">
        <v>578</v>
      </c>
      <c r="B65" s="611">
        <v>30223.22</v>
      </c>
      <c r="C65" s="610"/>
    </row>
    <row r="66" spans="1:3" ht="15">
      <c r="A66" s="615" t="s">
        <v>523</v>
      </c>
      <c r="B66" s="611">
        <v>336550</v>
      </c>
      <c r="C66" s="610"/>
    </row>
    <row r="67" spans="1:3" ht="15">
      <c r="A67" s="615" t="s">
        <v>524</v>
      </c>
      <c r="B67" s="611">
        <v>5685544.61</v>
      </c>
      <c r="C67" s="610"/>
    </row>
    <row r="68" spans="1:3" ht="15">
      <c r="A68" s="615" t="s">
        <v>580</v>
      </c>
      <c r="B68" s="611">
        <v>6123574</v>
      </c>
      <c r="C68" s="610"/>
    </row>
    <row r="69" spans="1:3" ht="15">
      <c r="A69" s="615" t="s">
        <v>505</v>
      </c>
      <c r="B69" s="611">
        <v>21428.57</v>
      </c>
      <c r="C69" s="610"/>
    </row>
    <row r="70" spans="1:3" ht="15">
      <c r="A70" s="615" t="s">
        <v>582</v>
      </c>
      <c r="B70" s="611">
        <v>47368</v>
      </c>
      <c r="C70" s="610"/>
    </row>
    <row r="71" spans="1:3" ht="22.5">
      <c r="A71" s="615" t="s">
        <v>583</v>
      </c>
      <c r="B71" s="611">
        <v>126803.58</v>
      </c>
      <c r="C71" s="610"/>
    </row>
    <row r="72" spans="1:3" ht="15">
      <c r="A72" s="615" t="s">
        <v>584</v>
      </c>
      <c r="B72" s="611">
        <v>930185.72</v>
      </c>
      <c r="C72" s="610"/>
    </row>
    <row r="73" spans="1:3" ht="15">
      <c r="A73" s="615" t="s">
        <v>525</v>
      </c>
      <c r="B73" s="611">
        <v>17078576.79</v>
      </c>
      <c r="C73" s="610"/>
    </row>
    <row r="74" spans="1:3" ht="22.5">
      <c r="A74" s="615" t="s">
        <v>586</v>
      </c>
      <c r="B74" s="611">
        <v>970523.96</v>
      </c>
      <c r="C74" s="610"/>
    </row>
    <row r="75" spans="1:3" ht="15">
      <c r="A75" s="615" t="s">
        <v>587</v>
      </c>
      <c r="B75" s="611">
        <v>13000</v>
      </c>
      <c r="C75" s="610"/>
    </row>
    <row r="76" spans="1:3" ht="22.5">
      <c r="A76" s="615" t="s">
        <v>882</v>
      </c>
      <c r="B76" s="611">
        <v>9098.21</v>
      </c>
      <c r="C76" s="610"/>
    </row>
    <row r="77" spans="1:3" ht="22.5">
      <c r="A77" s="615" t="s">
        <v>588</v>
      </c>
      <c r="B77" s="611">
        <v>44340</v>
      </c>
      <c r="C77" s="610"/>
    </row>
    <row r="78" spans="1:3" ht="22.5">
      <c r="A78" s="615" t="s">
        <v>589</v>
      </c>
      <c r="B78" s="611">
        <v>1192460.54</v>
      </c>
      <c r="C78" s="610"/>
    </row>
    <row r="79" spans="1:3" ht="22.5">
      <c r="A79" s="615" t="s">
        <v>590</v>
      </c>
      <c r="B79" s="611">
        <v>4874</v>
      </c>
      <c r="C79" s="610"/>
    </row>
    <row r="80" spans="1:3" ht="22.5">
      <c r="A80" s="615" t="s">
        <v>591</v>
      </c>
      <c r="B80" s="611">
        <v>891982.13</v>
      </c>
      <c r="C80" s="610"/>
    </row>
    <row r="81" spans="1:3" ht="15">
      <c r="A81" s="615" t="s">
        <v>593</v>
      </c>
      <c r="B81" s="611">
        <v>60886.58</v>
      </c>
      <c r="C81" s="610"/>
    </row>
    <row r="82" spans="1:3" ht="15">
      <c r="A82" s="615" t="s">
        <v>883</v>
      </c>
      <c r="B82" s="611">
        <v>1845048.62</v>
      </c>
      <c r="C82" s="610"/>
    </row>
    <row r="83" spans="1:3" ht="15">
      <c r="A83" s="615" t="s">
        <v>627</v>
      </c>
      <c r="B83" s="611">
        <v>81154910.06</v>
      </c>
      <c r="C83" s="610"/>
    </row>
    <row r="84" spans="1:3" ht="22.5">
      <c r="A84" s="615" t="s">
        <v>884</v>
      </c>
      <c r="B84" s="611">
        <v>15959.83</v>
      </c>
      <c r="C84" s="610"/>
    </row>
    <row r="85" spans="1:3" ht="15">
      <c r="A85" s="615" t="s">
        <v>885</v>
      </c>
      <c r="B85" s="611">
        <v>2429067</v>
      </c>
      <c r="C85" s="610"/>
    </row>
    <row r="86" spans="1:3" ht="15">
      <c r="A86" s="615" t="s">
        <v>594</v>
      </c>
      <c r="B86" s="611">
        <v>13257.76</v>
      </c>
      <c r="C86" s="610"/>
    </row>
    <row r="87" spans="1:3" ht="15">
      <c r="A87" s="615" t="s">
        <v>527</v>
      </c>
      <c r="B87" s="611">
        <v>351411.11</v>
      </c>
      <c r="C87" s="610"/>
    </row>
    <row r="88" spans="1:3" ht="22.5">
      <c r="A88" s="615" t="s">
        <v>595</v>
      </c>
      <c r="B88" s="611">
        <v>472831.25</v>
      </c>
      <c r="C88" s="610"/>
    </row>
    <row r="89" spans="1:3" ht="15">
      <c r="A89" s="615" t="s">
        <v>79</v>
      </c>
      <c r="B89" s="611">
        <v>164610.44</v>
      </c>
      <c r="C89" s="610"/>
    </row>
    <row r="90" spans="1:3" ht="15">
      <c r="A90" s="615" t="s">
        <v>596</v>
      </c>
      <c r="B90" s="611">
        <v>268035.74</v>
      </c>
      <c r="C90" s="610"/>
    </row>
    <row r="91" spans="1:3" ht="15">
      <c r="A91" s="615" t="s">
        <v>597</v>
      </c>
      <c r="B91" s="611">
        <v>167548</v>
      </c>
      <c r="C91" s="610"/>
    </row>
    <row r="92" spans="1:3" ht="22.5">
      <c r="A92" s="615" t="s">
        <v>598</v>
      </c>
      <c r="B92" s="611">
        <v>96140.22</v>
      </c>
      <c r="C92" s="610"/>
    </row>
    <row r="93" spans="1:3" ht="15">
      <c r="A93" s="615" t="s">
        <v>635</v>
      </c>
      <c r="B93" s="611">
        <v>30558057.99</v>
      </c>
      <c r="C93" s="610"/>
    </row>
    <row r="94" spans="1:3" ht="22.5">
      <c r="A94" s="615" t="s">
        <v>528</v>
      </c>
      <c r="B94" s="611">
        <v>3303800</v>
      </c>
      <c r="C94" s="610"/>
    </row>
    <row r="95" spans="1:3" ht="22.5">
      <c r="A95" s="615" t="s">
        <v>599</v>
      </c>
      <c r="B95" s="611">
        <v>1277810</v>
      </c>
      <c r="C95" s="610"/>
    </row>
    <row r="96" spans="1:3" ht="22.5">
      <c r="A96" s="615" t="s">
        <v>600</v>
      </c>
      <c r="B96" s="611">
        <v>470360.84</v>
      </c>
      <c r="C96" s="610"/>
    </row>
    <row r="97" spans="1:3" ht="33.75">
      <c r="A97" s="615" t="s">
        <v>601</v>
      </c>
      <c r="B97" s="611">
        <v>1205357.14</v>
      </c>
      <c r="C97" s="610"/>
    </row>
    <row r="98" spans="1:3" ht="22.5">
      <c r="A98" s="615" t="s">
        <v>602</v>
      </c>
      <c r="B98" s="611">
        <v>421588.52</v>
      </c>
      <c r="C98" s="610"/>
    </row>
    <row r="99" spans="1:3" ht="15">
      <c r="A99" s="615" t="s">
        <v>603</v>
      </c>
      <c r="B99" s="611">
        <v>69350</v>
      </c>
      <c r="C99" s="610"/>
    </row>
    <row r="100" spans="1:3" ht="15">
      <c r="A100" s="615" t="s">
        <v>634</v>
      </c>
      <c r="B100" s="611">
        <v>187525.21</v>
      </c>
      <c r="C100" s="610"/>
    </row>
    <row r="101" spans="1:3" ht="45">
      <c r="A101" s="615" t="s">
        <v>630</v>
      </c>
      <c r="B101" s="611">
        <v>78636968.46</v>
      </c>
      <c r="C101" s="610"/>
    </row>
    <row r="102" spans="1:3" ht="15">
      <c r="A102" s="615" t="s">
        <v>604</v>
      </c>
      <c r="B102" s="611">
        <v>2232.14</v>
      </c>
      <c r="C102" s="610"/>
    </row>
    <row r="103" spans="1:3" ht="15">
      <c r="A103" s="615" t="s">
        <v>529</v>
      </c>
      <c r="B103" s="611">
        <v>5554391.75</v>
      </c>
      <c r="C103" s="610"/>
    </row>
    <row r="104" spans="1:3" ht="15">
      <c r="A104" s="615" t="s">
        <v>530</v>
      </c>
      <c r="B104" s="611">
        <v>4934779.36</v>
      </c>
      <c r="C104" s="610"/>
    </row>
    <row r="105" spans="1:3" ht="15">
      <c r="A105" s="615" t="s">
        <v>531</v>
      </c>
      <c r="B105" s="611">
        <v>3487433.98</v>
      </c>
      <c r="C105" s="610"/>
    </row>
    <row r="106" spans="1:3" ht="15">
      <c r="A106" s="615" t="s">
        <v>886</v>
      </c>
      <c r="B106" s="611">
        <v>4900</v>
      </c>
      <c r="C106" s="610"/>
    </row>
    <row r="107" spans="1:3" ht="22.5">
      <c r="A107" s="615" t="s">
        <v>506</v>
      </c>
      <c r="B107" s="611">
        <v>1197247961.24</v>
      </c>
      <c r="C107" s="610"/>
    </row>
    <row r="108" spans="1:3" ht="22.5">
      <c r="A108" s="615" t="s">
        <v>507</v>
      </c>
      <c r="B108" s="611">
        <v>607098690.7</v>
      </c>
      <c r="C108" s="610"/>
    </row>
    <row r="109" spans="1:3" ht="22.5">
      <c r="A109" s="615" t="s">
        <v>607</v>
      </c>
      <c r="B109" s="611">
        <v>841800</v>
      </c>
      <c r="C109" s="610"/>
    </row>
    <row r="110" spans="1:3" ht="15">
      <c r="A110" s="615" t="s">
        <v>609</v>
      </c>
      <c r="B110" s="611">
        <v>227678.57</v>
      </c>
      <c r="C110" s="610"/>
    </row>
    <row r="111" spans="1:3" ht="15">
      <c r="A111" s="615" t="s">
        <v>532</v>
      </c>
      <c r="B111" s="611">
        <v>4722106.45</v>
      </c>
      <c r="C111" s="610"/>
    </row>
    <row r="112" spans="1:3" ht="22.5">
      <c r="A112" s="615" t="s">
        <v>533</v>
      </c>
      <c r="B112" s="611">
        <v>5666512.38</v>
      </c>
      <c r="C112" s="610"/>
    </row>
    <row r="113" spans="1:3" ht="15">
      <c r="A113" s="615" t="s">
        <v>534</v>
      </c>
      <c r="B113" s="611">
        <v>10655296.95</v>
      </c>
      <c r="C113" s="610"/>
    </row>
    <row r="114" spans="1:3" ht="15">
      <c r="A114" s="615" t="s">
        <v>610</v>
      </c>
      <c r="B114" s="611">
        <v>626984.08</v>
      </c>
      <c r="C114" s="610"/>
    </row>
    <row r="115" spans="1:3" ht="15">
      <c r="A115" s="615" t="s">
        <v>535</v>
      </c>
      <c r="B115" s="611">
        <v>17028623.34</v>
      </c>
      <c r="C115" s="610"/>
    </row>
    <row r="116" spans="1:3" ht="15">
      <c r="A116" s="615" t="s">
        <v>536</v>
      </c>
      <c r="B116" s="611">
        <v>25006409.32</v>
      </c>
      <c r="C116" s="610"/>
    </row>
    <row r="117" spans="1:3" ht="22.5">
      <c r="A117" s="615" t="s">
        <v>503</v>
      </c>
      <c r="B117" s="611">
        <v>13449039.05</v>
      </c>
      <c r="C117" s="610"/>
    </row>
    <row r="118" spans="1:3" ht="15">
      <c r="A118" s="615" t="s">
        <v>504</v>
      </c>
      <c r="B118" s="611">
        <v>3384265.98</v>
      </c>
      <c r="C118" s="610"/>
    </row>
    <row r="119" spans="1:3" ht="15">
      <c r="A119" s="615" t="s">
        <v>887</v>
      </c>
      <c r="B119" s="611">
        <v>365200</v>
      </c>
      <c r="C119" s="610"/>
    </row>
    <row r="120" spans="1:3" ht="22.5">
      <c r="A120" s="615" t="s">
        <v>611</v>
      </c>
      <c r="B120" s="611">
        <v>1853571.42</v>
      </c>
      <c r="C120" s="610"/>
    </row>
    <row r="121" spans="1:3" ht="15">
      <c r="A121" s="615" t="s">
        <v>537</v>
      </c>
      <c r="B121" s="611">
        <v>1771238.95</v>
      </c>
      <c r="C121" s="610"/>
    </row>
    <row r="122" spans="1:3" ht="22.5">
      <c r="A122" s="615" t="s">
        <v>612</v>
      </c>
      <c r="B122" s="611">
        <v>2542165.32</v>
      </c>
      <c r="C122" s="610"/>
    </row>
    <row r="123" spans="1:3" ht="15">
      <c r="A123" s="615" t="s">
        <v>613</v>
      </c>
      <c r="B123" s="611">
        <v>3293395.88</v>
      </c>
      <c r="C123" s="610"/>
    </row>
    <row r="124" spans="1:3" ht="15">
      <c r="A124" s="615" t="s">
        <v>538</v>
      </c>
      <c r="B124" s="611">
        <v>2192748</v>
      </c>
      <c r="C124" s="610"/>
    </row>
    <row r="125" spans="1:3" ht="15">
      <c r="A125" s="615" t="s">
        <v>614</v>
      </c>
      <c r="B125" s="611">
        <v>285208</v>
      </c>
      <c r="C125" s="610"/>
    </row>
    <row r="126" spans="1:3" ht="15">
      <c r="A126" s="615" t="s">
        <v>343</v>
      </c>
      <c r="B126" s="611">
        <v>2208855637.24</v>
      </c>
      <c r="C126" s="610"/>
    </row>
    <row r="127" spans="1:3" ht="15">
      <c r="A127" s="615" t="s">
        <v>539</v>
      </c>
      <c r="B127" s="611">
        <v>1220960.05</v>
      </c>
      <c r="C127" s="610"/>
    </row>
    <row r="128" spans="1:3" ht="15">
      <c r="A128" s="615" t="s">
        <v>540</v>
      </c>
      <c r="B128" s="611">
        <v>119464.26</v>
      </c>
      <c r="C128" s="610"/>
    </row>
    <row r="129" spans="1:3" ht="15">
      <c r="A129" s="615" t="s">
        <v>541</v>
      </c>
      <c r="B129" s="611">
        <v>90107.14</v>
      </c>
      <c r="C129" s="610"/>
    </row>
    <row r="130" spans="1:3" ht="15">
      <c r="A130" s="615" t="s">
        <v>615</v>
      </c>
      <c r="B130" s="611">
        <v>188928.57</v>
      </c>
      <c r="C130" s="610"/>
    </row>
    <row r="131" spans="1:3" ht="15">
      <c r="A131" s="615" t="s">
        <v>888</v>
      </c>
      <c r="B131" s="611">
        <v>425741.53</v>
      </c>
      <c r="C131" s="610"/>
    </row>
    <row r="132" spans="1:3" ht="15">
      <c r="A132" s="615" t="s">
        <v>616</v>
      </c>
      <c r="B132" s="611">
        <v>22741.96</v>
      </c>
      <c r="C132" s="610"/>
    </row>
    <row r="133" spans="1:3" ht="22.5">
      <c r="A133" s="615" t="s">
        <v>617</v>
      </c>
      <c r="B133" s="611">
        <v>156250</v>
      </c>
      <c r="C133" s="610"/>
    </row>
    <row r="134" spans="1:3" ht="15">
      <c r="A134" s="615" t="s">
        <v>618</v>
      </c>
      <c r="B134" s="611">
        <v>701759.3</v>
      </c>
      <c r="C134" s="610"/>
    </row>
    <row r="135" spans="1:3" ht="22.5">
      <c r="A135" s="615" t="s">
        <v>619</v>
      </c>
      <c r="B135" s="611">
        <v>37500</v>
      </c>
      <c r="C135" s="610"/>
    </row>
    <row r="136" spans="1:3" ht="15">
      <c r="A136" s="615" t="s">
        <v>542</v>
      </c>
      <c r="B136" s="611">
        <v>5007388.59</v>
      </c>
      <c r="C136" s="610"/>
    </row>
    <row r="137" spans="1:3" ht="15">
      <c r="A137" s="615" t="s">
        <v>543</v>
      </c>
      <c r="B137" s="611">
        <v>2134540.6</v>
      </c>
      <c r="C137" s="610"/>
    </row>
    <row r="138" spans="1:3" ht="15">
      <c r="A138" s="615" t="s">
        <v>621</v>
      </c>
      <c r="B138" s="611">
        <v>16591.97</v>
      </c>
      <c r="C138" s="610"/>
    </row>
    <row r="139" spans="1:3" ht="15">
      <c r="A139" s="615" t="s">
        <v>628</v>
      </c>
      <c r="B139" s="611">
        <v>39000</v>
      </c>
      <c r="C139" s="610"/>
    </row>
    <row r="140" spans="1:3" ht="15">
      <c r="A140" s="615" t="s">
        <v>622</v>
      </c>
      <c r="B140" s="611">
        <v>9808.35</v>
      </c>
      <c r="C140" s="610"/>
    </row>
    <row r="141" spans="1:3" ht="22.5">
      <c r="A141" s="615" t="s">
        <v>623</v>
      </c>
      <c r="B141" s="611">
        <v>6033.21</v>
      </c>
      <c r="C141" s="610"/>
    </row>
    <row r="142" spans="1:3" ht="15">
      <c r="A142" s="615" t="s">
        <v>544</v>
      </c>
      <c r="B142" s="611">
        <v>35585914.42</v>
      </c>
      <c r="C142" s="610"/>
    </row>
    <row r="143" spans="1:3" ht="15">
      <c r="A143" s="615" t="s">
        <v>624</v>
      </c>
      <c r="B143" s="611">
        <v>19642.86</v>
      </c>
      <c r="C143" s="610"/>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252"/>
  <sheetViews>
    <sheetView zoomScalePageLayoutView="0" workbookViewId="0" topLeftCell="A13">
      <selection activeCell="B26" sqref="B25:B26"/>
    </sheetView>
  </sheetViews>
  <sheetFormatPr defaultColWidth="9.140625" defaultRowHeight="15"/>
  <cols>
    <col min="1" max="1" width="41.00390625" style="0" customWidth="1"/>
    <col min="2" max="2" width="18.7109375" style="0" customWidth="1"/>
  </cols>
  <sheetData>
    <row r="1" spans="1:2" ht="15">
      <c r="A1" s="307" t="s">
        <v>499</v>
      </c>
      <c r="B1" s="814" t="s">
        <v>500</v>
      </c>
    </row>
    <row r="2" spans="1:2" ht="15">
      <c r="A2" s="307" t="s">
        <v>501</v>
      </c>
      <c r="B2" s="814"/>
    </row>
    <row r="3" spans="1:2" ht="15">
      <c r="A3" s="307" t="s">
        <v>502</v>
      </c>
      <c r="B3" s="814"/>
    </row>
    <row r="4" spans="1:2" ht="15">
      <c r="A4" s="308" t="s">
        <v>0</v>
      </c>
      <c r="B4" s="309">
        <v>7912601181.75</v>
      </c>
    </row>
    <row r="5" spans="1:2" ht="15">
      <c r="A5" s="310"/>
      <c r="B5" s="311">
        <v>2623134.82</v>
      </c>
    </row>
    <row r="6" spans="1:2" ht="15">
      <c r="A6" s="312" t="s">
        <v>503</v>
      </c>
      <c r="B6" s="313">
        <v>42285.71</v>
      </c>
    </row>
    <row r="7" spans="1:2" ht="15">
      <c r="A7" s="312" t="s">
        <v>504</v>
      </c>
      <c r="B7" s="313">
        <v>2580849.11</v>
      </c>
    </row>
    <row r="8" spans="1:2" ht="15">
      <c r="A8" s="314">
        <v>2933</v>
      </c>
      <c r="B8" s="311">
        <v>3528571.43</v>
      </c>
    </row>
    <row r="9" spans="1:2" ht="15">
      <c r="A9" s="312" t="s">
        <v>505</v>
      </c>
      <c r="B9" s="313">
        <v>3528571.43</v>
      </c>
    </row>
    <row r="10" spans="1:2" ht="15">
      <c r="A10" s="314">
        <v>7010</v>
      </c>
      <c r="B10" s="311">
        <v>2158575906.52</v>
      </c>
    </row>
    <row r="11" spans="1:2" ht="15">
      <c r="A11" s="312" t="s">
        <v>79</v>
      </c>
      <c r="B11" s="313">
        <v>400400</v>
      </c>
    </row>
    <row r="12" spans="1:2" ht="22.5">
      <c r="A12" s="312" t="s">
        <v>506</v>
      </c>
      <c r="B12" s="313">
        <v>2100875706.26</v>
      </c>
    </row>
    <row r="13" spans="1:2" ht="22.5">
      <c r="A13" s="312" t="s">
        <v>507</v>
      </c>
      <c r="B13" s="313">
        <v>57237217.44</v>
      </c>
    </row>
    <row r="14" spans="1:2" ht="15">
      <c r="A14" s="312" t="s">
        <v>343</v>
      </c>
      <c r="B14" s="313">
        <v>62582.82</v>
      </c>
    </row>
    <row r="15" spans="1:2" ht="15">
      <c r="A15" s="314">
        <v>7110</v>
      </c>
      <c r="B15" s="311">
        <v>142158876.46</v>
      </c>
    </row>
    <row r="16" spans="1:2" ht="15">
      <c r="A16" s="312" t="s">
        <v>508</v>
      </c>
      <c r="B16" s="313">
        <v>9926.8</v>
      </c>
    </row>
    <row r="17" spans="1:2" ht="15">
      <c r="A17" s="312" t="s">
        <v>509</v>
      </c>
      <c r="B17" s="313">
        <v>116460.52</v>
      </c>
    </row>
    <row r="18" spans="1:2" ht="15">
      <c r="A18" s="312" t="s">
        <v>510</v>
      </c>
      <c r="B18" s="313">
        <v>6000</v>
      </c>
    </row>
    <row r="19" spans="1:2" ht="15">
      <c r="A19" s="312" t="s">
        <v>511</v>
      </c>
      <c r="B19" s="313">
        <v>247579.56</v>
      </c>
    </row>
    <row r="20" spans="1:2" ht="15">
      <c r="A20" s="312" t="s">
        <v>512</v>
      </c>
      <c r="B20" s="319">
        <v>11865639.17</v>
      </c>
    </row>
    <row r="21" spans="1:2" ht="15">
      <c r="A21" s="312" t="s">
        <v>513</v>
      </c>
      <c r="B21" s="313">
        <v>355862.34</v>
      </c>
    </row>
    <row r="22" spans="1:2" ht="15">
      <c r="A22" s="312" t="s">
        <v>514</v>
      </c>
      <c r="B22" s="315">
        <v>497.96</v>
      </c>
    </row>
    <row r="23" spans="1:2" ht="15">
      <c r="A23" s="312" t="s">
        <v>515</v>
      </c>
      <c r="B23" s="313">
        <v>96910.71</v>
      </c>
    </row>
    <row r="24" spans="1:2" ht="15">
      <c r="A24" s="312" t="s">
        <v>516</v>
      </c>
      <c r="B24" s="319">
        <v>59435014</v>
      </c>
    </row>
    <row r="25" spans="1:2" ht="15">
      <c r="A25" s="312" t="s">
        <v>517</v>
      </c>
      <c r="B25" s="313">
        <v>277687.73</v>
      </c>
    </row>
    <row r="26" spans="1:2" ht="15">
      <c r="A26" s="312" t="s">
        <v>518</v>
      </c>
      <c r="B26" s="313">
        <v>29259500.71</v>
      </c>
    </row>
    <row r="27" spans="1:2" ht="15">
      <c r="A27" s="312" t="s">
        <v>519</v>
      </c>
      <c r="B27" s="313">
        <v>14005.39</v>
      </c>
    </row>
    <row r="28" spans="1:2" ht="15">
      <c r="A28" s="312" t="s">
        <v>520</v>
      </c>
      <c r="B28" s="313">
        <v>558806.69</v>
      </c>
    </row>
    <row r="29" spans="1:2" ht="15">
      <c r="A29" s="312" t="s">
        <v>521</v>
      </c>
      <c r="B29" s="319">
        <v>221902.21</v>
      </c>
    </row>
    <row r="30" spans="1:2" ht="15">
      <c r="A30" s="312" t="s">
        <v>522</v>
      </c>
      <c r="B30" s="315">
        <v>915</v>
      </c>
    </row>
    <row r="31" spans="1:2" ht="15">
      <c r="A31" s="312" t="s">
        <v>523</v>
      </c>
      <c r="B31" s="313">
        <v>10300</v>
      </c>
    </row>
    <row r="32" spans="1:2" ht="15">
      <c r="A32" s="312" t="s">
        <v>524</v>
      </c>
      <c r="B32" s="319">
        <v>565052.83</v>
      </c>
    </row>
    <row r="33" spans="1:2" ht="15">
      <c r="A33" s="312" t="s">
        <v>525</v>
      </c>
      <c r="B33" s="313">
        <v>476726.85</v>
      </c>
    </row>
    <row r="34" spans="1:2" ht="22.5">
      <c r="A34" s="312" t="s">
        <v>526</v>
      </c>
      <c r="B34" s="313">
        <v>267857.14</v>
      </c>
    </row>
    <row r="35" spans="1:2" ht="15">
      <c r="A35" s="312" t="s">
        <v>527</v>
      </c>
      <c r="B35" s="313">
        <v>257956.29</v>
      </c>
    </row>
    <row r="36" spans="1:2" ht="15">
      <c r="A36" s="312" t="s">
        <v>79</v>
      </c>
      <c r="B36" s="313">
        <v>7312.5</v>
      </c>
    </row>
    <row r="37" spans="1:2" ht="15">
      <c r="A37" s="312" t="s">
        <v>528</v>
      </c>
      <c r="B37" s="313">
        <v>5020440</v>
      </c>
    </row>
    <row r="38" spans="1:2" ht="15">
      <c r="A38" s="312" t="s">
        <v>529</v>
      </c>
      <c r="B38" s="313">
        <v>6491025.18</v>
      </c>
    </row>
    <row r="39" spans="1:2" ht="15">
      <c r="A39" s="312" t="s">
        <v>530</v>
      </c>
      <c r="B39" s="313">
        <v>537700.23</v>
      </c>
    </row>
    <row r="40" spans="1:2" ht="15">
      <c r="A40" s="312" t="s">
        <v>531</v>
      </c>
      <c r="B40" s="315">
        <v>925</v>
      </c>
    </row>
    <row r="41" spans="1:2" ht="22.5">
      <c r="A41" s="312" t="s">
        <v>507</v>
      </c>
      <c r="B41" s="313">
        <v>3672.12</v>
      </c>
    </row>
    <row r="42" spans="1:2" ht="15">
      <c r="A42" s="312" t="s">
        <v>532</v>
      </c>
      <c r="B42" s="313">
        <v>3273983.35</v>
      </c>
    </row>
    <row r="43" spans="1:2" ht="15">
      <c r="A43" s="312" t="s">
        <v>533</v>
      </c>
      <c r="B43" s="313">
        <v>352975.85</v>
      </c>
    </row>
    <row r="44" spans="1:2" ht="15">
      <c r="A44" s="312" t="s">
        <v>534</v>
      </c>
      <c r="B44" s="313">
        <v>1545326.75</v>
      </c>
    </row>
    <row r="45" spans="1:2" ht="15">
      <c r="A45" s="312" t="s">
        <v>535</v>
      </c>
      <c r="B45" s="319">
        <v>2472871.36</v>
      </c>
    </row>
    <row r="46" spans="1:2" ht="15">
      <c r="A46" s="312" t="s">
        <v>536</v>
      </c>
      <c r="B46" s="319">
        <v>3083267.96</v>
      </c>
    </row>
    <row r="47" spans="1:2" ht="15">
      <c r="A47" s="312" t="s">
        <v>503</v>
      </c>
      <c r="B47" s="319">
        <v>822663.79</v>
      </c>
    </row>
    <row r="48" spans="1:2" ht="15">
      <c r="A48" s="312" t="s">
        <v>504</v>
      </c>
      <c r="B48" s="319">
        <v>653879.17</v>
      </c>
    </row>
    <row r="49" spans="1:2" ht="15">
      <c r="A49" s="312" t="s">
        <v>537</v>
      </c>
      <c r="B49" s="313">
        <v>1006462.09</v>
      </c>
    </row>
    <row r="50" spans="1:2" ht="15">
      <c r="A50" s="312" t="s">
        <v>538</v>
      </c>
      <c r="B50" s="313">
        <v>2986776</v>
      </c>
    </row>
    <row r="51" spans="1:2" ht="15">
      <c r="A51" s="312" t="s">
        <v>343</v>
      </c>
      <c r="B51" s="315">
        <v>0.01</v>
      </c>
    </row>
    <row r="52" spans="1:2" ht="15">
      <c r="A52" s="312" t="s">
        <v>539</v>
      </c>
      <c r="B52" s="313">
        <v>253431</v>
      </c>
    </row>
    <row r="53" spans="1:2" ht="15">
      <c r="A53" s="312" t="s">
        <v>540</v>
      </c>
      <c r="B53" s="313">
        <v>25968.75</v>
      </c>
    </row>
    <row r="54" spans="1:2" ht="15">
      <c r="A54" s="312" t="s">
        <v>541</v>
      </c>
      <c r="B54" s="313">
        <v>50000</v>
      </c>
    </row>
    <row r="55" spans="1:2" ht="15">
      <c r="A55" s="312" t="s">
        <v>542</v>
      </c>
      <c r="B55" s="313">
        <v>748619.13</v>
      </c>
    </row>
    <row r="56" spans="1:2" ht="15">
      <c r="A56" s="312" t="s">
        <v>543</v>
      </c>
      <c r="B56" s="313">
        <v>1344787.82</v>
      </c>
    </row>
    <row r="57" spans="1:2" ht="15">
      <c r="A57" s="312" t="s">
        <v>544</v>
      </c>
      <c r="B57" s="313">
        <v>7432186.5</v>
      </c>
    </row>
    <row r="58" spans="1:2" ht="15">
      <c r="A58" s="314">
        <v>7210</v>
      </c>
      <c r="B58" s="311">
        <v>492521041.18</v>
      </c>
    </row>
    <row r="59" spans="1:2" ht="15">
      <c r="A59" s="312"/>
      <c r="B59" s="313">
        <v>2111850</v>
      </c>
    </row>
    <row r="60" spans="1:2" ht="15">
      <c r="A60" s="312" t="s">
        <v>508</v>
      </c>
      <c r="B60" s="313">
        <v>518672.92</v>
      </c>
    </row>
    <row r="61" spans="1:2" ht="15">
      <c r="A61" s="312" t="s">
        <v>545</v>
      </c>
      <c r="B61" s="313">
        <v>103772.11</v>
      </c>
    </row>
    <row r="62" spans="1:2" ht="15">
      <c r="A62" s="312" t="s">
        <v>546</v>
      </c>
      <c r="B62" s="313">
        <v>1086013</v>
      </c>
    </row>
    <row r="63" spans="1:2" ht="15">
      <c r="A63" s="312" t="s">
        <v>547</v>
      </c>
      <c r="B63" s="320">
        <v>55983.74</v>
      </c>
    </row>
    <row r="64" spans="1:2" ht="15">
      <c r="A64" s="312" t="s">
        <v>548</v>
      </c>
      <c r="B64" s="313">
        <v>355420</v>
      </c>
    </row>
    <row r="65" spans="1:2" ht="15">
      <c r="A65" s="312" t="s">
        <v>549</v>
      </c>
      <c r="B65" s="313">
        <v>401785.74</v>
      </c>
    </row>
    <row r="66" spans="1:2" ht="15">
      <c r="A66" s="312" t="s">
        <v>509</v>
      </c>
      <c r="B66" s="313">
        <v>20551.86</v>
      </c>
    </row>
    <row r="67" spans="1:2" ht="15">
      <c r="A67" s="312" t="s">
        <v>511</v>
      </c>
      <c r="B67" s="313">
        <v>1526924.76</v>
      </c>
    </row>
    <row r="68" spans="1:2" ht="15">
      <c r="A68" s="312" t="s">
        <v>512</v>
      </c>
      <c r="B68" s="313">
        <v>4359630.89</v>
      </c>
    </row>
    <row r="69" spans="1:2" ht="15">
      <c r="A69" s="312" t="s">
        <v>513</v>
      </c>
      <c r="B69" s="313">
        <v>55844.95</v>
      </c>
    </row>
    <row r="70" spans="1:2" ht="15">
      <c r="A70" s="312" t="s">
        <v>550</v>
      </c>
      <c r="B70" s="313">
        <v>43710</v>
      </c>
    </row>
    <row r="71" spans="1:2" ht="15">
      <c r="A71" s="312" t="s">
        <v>514</v>
      </c>
      <c r="B71" s="313">
        <v>352396.04</v>
      </c>
    </row>
    <row r="72" spans="1:2" ht="15">
      <c r="A72" s="312" t="s">
        <v>551</v>
      </c>
      <c r="B72" s="313">
        <v>207418</v>
      </c>
    </row>
    <row r="73" spans="1:2" ht="15">
      <c r="A73" s="312" t="s">
        <v>552</v>
      </c>
      <c r="B73" s="313">
        <v>15000</v>
      </c>
    </row>
    <row r="74" spans="1:2" ht="15">
      <c r="A74" s="312" t="s">
        <v>515</v>
      </c>
      <c r="B74" s="313">
        <v>39357.14</v>
      </c>
    </row>
    <row r="75" spans="1:2" ht="15">
      <c r="A75" s="312" t="s">
        <v>553</v>
      </c>
      <c r="B75" s="313">
        <v>43235.7</v>
      </c>
    </row>
    <row r="76" spans="1:2" ht="15">
      <c r="A76" s="312" t="s">
        <v>516</v>
      </c>
      <c r="B76" s="313">
        <v>256939681</v>
      </c>
    </row>
    <row r="77" spans="1:2" ht="15">
      <c r="A77" s="312" t="s">
        <v>554</v>
      </c>
      <c r="B77" s="315">
        <v>892.86</v>
      </c>
    </row>
    <row r="78" spans="1:2" ht="15">
      <c r="A78" s="312" t="s">
        <v>555</v>
      </c>
      <c r="B78" s="315">
        <v>161.87</v>
      </c>
    </row>
    <row r="79" spans="1:2" ht="15">
      <c r="A79" s="312" t="s">
        <v>556</v>
      </c>
      <c r="B79" s="313">
        <v>64630</v>
      </c>
    </row>
    <row r="80" spans="1:2" ht="15">
      <c r="A80" s="312" t="s">
        <v>557</v>
      </c>
      <c r="B80" s="313">
        <v>175170</v>
      </c>
    </row>
    <row r="81" spans="1:2" ht="15">
      <c r="A81" s="312" t="s">
        <v>558</v>
      </c>
      <c r="B81" s="313">
        <v>27562.22</v>
      </c>
    </row>
    <row r="82" spans="1:2" ht="22.5">
      <c r="A82" s="312" t="s">
        <v>559</v>
      </c>
      <c r="B82" s="313">
        <v>13344.64</v>
      </c>
    </row>
    <row r="83" spans="1:2" ht="15">
      <c r="A83" s="312" t="s">
        <v>560</v>
      </c>
      <c r="B83" s="313">
        <v>437094.59</v>
      </c>
    </row>
    <row r="84" spans="1:2" ht="15">
      <c r="A84" s="312" t="s">
        <v>517</v>
      </c>
      <c r="B84" s="313">
        <v>448732.16</v>
      </c>
    </row>
    <row r="85" spans="1:2" ht="15">
      <c r="A85" s="312" t="s">
        <v>561</v>
      </c>
      <c r="B85" s="320">
        <v>1451435.7</v>
      </c>
    </row>
    <row r="86" spans="1:2" ht="15">
      <c r="A86" s="312" t="s">
        <v>518</v>
      </c>
      <c r="B86" s="320">
        <v>55298521.47</v>
      </c>
    </row>
    <row r="87" spans="1:2" ht="15">
      <c r="A87" s="312" t="s">
        <v>562</v>
      </c>
      <c r="B87" s="313">
        <v>1751158.35</v>
      </c>
    </row>
    <row r="88" spans="1:2" ht="15">
      <c r="A88" s="312" t="s">
        <v>519</v>
      </c>
      <c r="B88" s="313">
        <v>396990.61</v>
      </c>
    </row>
    <row r="89" spans="1:2" ht="15">
      <c r="A89" s="312" t="s">
        <v>563</v>
      </c>
      <c r="B89" s="313">
        <v>292000</v>
      </c>
    </row>
    <row r="90" spans="1:2" ht="15">
      <c r="A90" s="312" t="s">
        <v>564</v>
      </c>
      <c r="B90" s="313">
        <v>38841.41</v>
      </c>
    </row>
    <row r="91" spans="1:2" ht="15">
      <c r="A91" s="312" t="s">
        <v>520</v>
      </c>
      <c r="B91" s="313">
        <v>101099.92</v>
      </c>
    </row>
    <row r="92" spans="1:2" ht="15">
      <c r="A92" s="312" t="s">
        <v>521</v>
      </c>
      <c r="B92" s="313">
        <v>65355.66</v>
      </c>
    </row>
    <row r="93" spans="1:2" ht="15">
      <c r="A93" s="312" t="s">
        <v>522</v>
      </c>
      <c r="B93" s="313">
        <v>127955.5</v>
      </c>
    </row>
    <row r="94" spans="1:2" ht="15">
      <c r="A94" s="312" t="s">
        <v>565</v>
      </c>
      <c r="B94" s="313">
        <v>1500000</v>
      </c>
    </row>
    <row r="95" spans="1:2" ht="15">
      <c r="A95" s="312" t="s">
        <v>566</v>
      </c>
      <c r="B95" s="321">
        <v>52209.93</v>
      </c>
    </row>
    <row r="96" spans="1:2" ht="15">
      <c r="A96" s="312" t="s">
        <v>567</v>
      </c>
      <c r="B96" s="321">
        <v>58100.69</v>
      </c>
    </row>
    <row r="97" spans="1:2" ht="15">
      <c r="A97" s="312" t="s">
        <v>568</v>
      </c>
      <c r="B97" s="321">
        <v>1008903.95</v>
      </c>
    </row>
    <row r="98" spans="1:2" ht="22.5">
      <c r="A98" s="312" t="s">
        <v>569</v>
      </c>
      <c r="B98" s="321">
        <v>78294.48</v>
      </c>
    </row>
    <row r="99" spans="1:2" ht="15">
      <c r="A99" s="312" t="s">
        <v>570</v>
      </c>
      <c r="B99" s="321">
        <v>2146356.87</v>
      </c>
    </row>
    <row r="100" spans="1:2" ht="22.5">
      <c r="A100" s="312" t="s">
        <v>571</v>
      </c>
      <c r="B100" s="321">
        <v>5247000</v>
      </c>
    </row>
    <row r="101" spans="1:2" ht="22.5">
      <c r="A101" s="312" t="s">
        <v>572</v>
      </c>
      <c r="B101" s="321">
        <v>220270</v>
      </c>
    </row>
    <row r="102" spans="1:2" ht="22.5">
      <c r="A102" s="312" t="s">
        <v>573</v>
      </c>
      <c r="B102" s="321">
        <v>75820</v>
      </c>
    </row>
    <row r="103" spans="1:2" ht="15">
      <c r="A103" s="312" t="s">
        <v>574</v>
      </c>
      <c r="B103" s="313">
        <v>176357.13</v>
      </c>
    </row>
    <row r="104" spans="1:2" ht="15">
      <c r="A104" s="312" t="s">
        <v>575</v>
      </c>
      <c r="B104" s="313">
        <v>180000</v>
      </c>
    </row>
    <row r="105" spans="1:2" ht="15">
      <c r="A105" s="312" t="s">
        <v>576</v>
      </c>
      <c r="B105" s="313">
        <v>898120</v>
      </c>
    </row>
    <row r="106" spans="1:2" ht="15">
      <c r="A106" s="312" t="s">
        <v>577</v>
      </c>
      <c r="B106" s="313">
        <v>120986.81</v>
      </c>
    </row>
    <row r="107" spans="1:2" ht="15">
      <c r="A107" s="312" t="s">
        <v>578</v>
      </c>
      <c r="B107" s="313">
        <v>136517.86</v>
      </c>
    </row>
    <row r="108" spans="1:2" ht="15">
      <c r="A108" s="312" t="s">
        <v>523</v>
      </c>
      <c r="B108" s="319">
        <v>273700</v>
      </c>
    </row>
    <row r="109" spans="1:2" ht="15">
      <c r="A109" s="312" t="s">
        <v>524</v>
      </c>
      <c r="B109" s="313">
        <v>1672666.96</v>
      </c>
    </row>
    <row r="110" spans="1:2" ht="15">
      <c r="A110" s="312" t="s">
        <v>579</v>
      </c>
      <c r="B110" s="321">
        <v>6182</v>
      </c>
    </row>
    <row r="111" spans="1:2" ht="15">
      <c r="A111" s="312" t="s">
        <v>580</v>
      </c>
      <c r="B111" s="321">
        <v>9785295</v>
      </c>
    </row>
    <row r="112" spans="1:2" ht="15">
      <c r="A112" s="312" t="s">
        <v>581</v>
      </c>
      <c r="B112" s="321">
        <v>646832</v>
      </c>
    </row>
    <row r="113" spans="1:2" ht="15">
      <c r="A113" s="312" t="s">
        <v>582</v>
      </c>
      <c r="B113" s="313">
        <v>46680</v>
      </c>
    </row>
    <row r="114" spans="1:2" ht="15">
      <c r="A114" s="312" t="s">
        <v>583</v>
      </c>
      <c r="B114" s="313">
        <v>190205.37</v>
      </c>
    </row>
    <row r="115" spans="1:2" ht="15">
      <c r="A115" s="312" t="s">
        <v>584</v>
      </c>
      <c r="B115" s="313">
        <v>848535.72</v>
      </c>
    </row>
    <row r="116" spans="1:2" ht="15">
      <c r="A116" s="312" t="s">
        <v>525</v>
      </c>
      <c r="B116" s="313">
        <v>36216639.21</v>
      </c>
    </row>
    <row r="117" spans="1:2" ht="15">
      <c r="A117" s="312" t="s">
        <v>585</v>
      </c>
      <c r="B117" s="313">
        <v>249280.97</v>
      </c>
    </row>
    <row r="118" spans="1:2" ht="22.5">
      <c r="A118" s="312" t="s">
        <v>586</v>
      </c>
      <c r="B118" s="313">
        <v>17129570.92</v>
      </c>
    </row>
    <row r="119" spans="1:2" ht="15">
      <c r="A119" s="312" t="s">
        <v>587</v>
      </c>
      <c r="B119" s="313">
        <v>41250</v>
      </c>
    </row>
    <row r="120" spans="1:2" ht="22.5">
      <c r="A120" s="312" t="s">
        <v>588</v>
      </c>
      <c r="B120" s="321">
        <v>66510</v>
      </c>
    </row>
    <row r="121" spans="1:2" ht="15">
      <c r="A121" s="312" t="s">
        <v>589</v>
      </c>
      <c r="B121" s="321">
        <v>825687</v>
      </c>
    </row>
    <row r="122" spans="1:2" ht="15">
      <c r="A122" s="312" t="s">
        <v>590</v>
      </c>
      <c r="B122" s="321">
        <v>147610</v>
      </c>
    </row>
    <row r="123" spans="1:2" ht="15">
      <c r="A123" s="312" t="s">
        <v>591</v>
      </c>
      <c r="B123" s="319">
        <v>649365.59</v>
      </c>
    </row>
    <row r="124" spans="1:2" ht="15">
      <c r="A124" s="312" t="s">
        <v>592</v>
      </c>
      <c r="B124" s="313">
        <v>14400</v>
      </c>
    </row>
    <row r="125" spans="1:2" ht="15">
      <c r="A125" s="312" t="s">
        <v>593</v>
      </c>
      <c r="B125" s="313">
        <v>168593.05</v>
      </c>
    </row>
    <row r="126" spans="1:2" ht="22.5">
      <c r="A126" s="312" t="s">
        <v>526</v>
      </c>
      <c r="B126" s="319">
        <v>21700.88</v>
      </c>
    </row>
    <row r="127" spans="1:2" ht="15">
      <c r="A127" s="312" t="s">
        <v>594</v>
      </c>
      <c r="B127" s="313">
        <v>6227.23</v>
      </c>
    </row>
    <row r="128" spans="1:2" ht="15">
      <c r="A128" s="312" t="s">
        <v>527</v>
      </c>
      <c r="B128" s="313">
        <v>159078.83</v>
      </c>
    </row>
    <row r="129" spans="1:2" ht="22.5">
      <c r="A129" s="312" t="s">
        <v>595</v>
      </c>
      <c r="B129" s="321">
        <v>2165</v>
      </c>
    </row>
    <row r="130" spans="1:2" ht="15">
      <c r="A130" s="312" t="s">
        <v>79</v>
      </c>
      <c r="B130" s="313">
        <v>4479324.72</v>
      </c>
    </row>
    <row r="131" spans="1:2" ht="15">
      <c r="A131" s="312" t="s">
        <v>596</v>
      </c>
      <c r="B131" s="313">
        <v>368123.41</v>
      </c>
    </row>
    <row r="132" spans="1:2" ht="15">
      <c r="A132" s="312" t="s">
        <v>597</v>
      </c>
      <c r="B132" s="313">
        <v>106904.25</v>
      </c>
    </row>
    <row r="133" spans="1:2" ht="15">
      <c r="A133" s="312" t="s">
        <v>598</v>
      </c>
      <c r="B133" s="313">
        <v>6320.53</v>
      </c>
    </row>
    <row r="134" spans="1:2" ht="15">
      <c r="A134" s="312" t="s">
        <v>528</v>
      </c>
      <c r="B134" s="313">
        <v>385480</v>
      </c>
    </row>
    <row r="135" spans="1:2" ht="15">
      <c r="A135" s="312" t="s">
        <v>599</v>
      </c>
      <c r="B135" s="313">
        <v>506000</v>
      </c>
    </row>
    <row r="136" spans="1:2" ht="15">
      <c r="A136" s="312" t="s">
        <v>600</v>
      </c>
      <c r="B136" s="319">
        <v>32550</v>
      </c>
    </row>
    <row r="137" spans="1:2" ht="22.5">
      <c r="A137" s="312" t="s">
        <v>601</v>
      </c>
      <c r="B137" s="313">
        <v>1349285.71</v>
      </c>
    </row>
    <row r="138" spans="1:2" ht="22.5">
      <c r="A138" s="312" t="s">
        <v>602</v>
      </c>
      <c r="B138" s="313">
        <v>1046209.97</v>
      </c>
    </row>
    <row r="139" spans="1:2" ht="15">
      <c r="A139" s="312" t="s">
        <v>603</v>
      </c>
      <c r="B139" s="313">
        <v>76574.8</v>
      </c>
    </row>
    <row r="140" spans="1:2" ht="15">
      <c r="A140" s="312" t="s">
        <v>604</v>
      </c>
      <c r="B140" s="313">
        <v>75000</v>
      </c>
    </row>
    <row r="141" spans="1:2" ht="15">
      <c r="A141" s="312" t="s">
        <v>529</v>
      </c>
      <c r="B141" s="313">
        <v>2687557.67</v>
      </c>
    </row>
    <row r="142" spans="1:2" ht="15">
      <c r="A142" s="312" t="s">
        <v>530</v>
      </c>
      <c r="B142" s="313">
        <v>636567.64</v>
      </c>
    </row>
    <row r="143" spans="1:2" ht="15">
      <c r="A143" s="312" t="s">
        <v>531</v>
      </c>
      <c r="B143" s="319">
        <v>136681.24</v>
      </c>
    </row>
    <row r="144" spans="1:2" ht="15">
      <c r="A144" s="312" t="s">
        <v>605</v>
      </c>
      <c r="B144" s="319">
        <v>277925</v>
      </c>
    </row>
    <row r="145" spans="1:2" ht="15">
      <c r="A145" s="312" t="s">
        <v>606</v>
      </c>
      <c r="B145" s="319">
        <v>13392.86</v>
      </c>
    </row>
    <row r="146" spans="1:2" ht="15">
      <c r="A146" s="312" t="s">
        <v>607</v>
      </c>
      <c r="B146" s="319">
        <v>1046200</v>
      </c>
    </row>
    <row r="147" spans="1:2" ht="22.5">
      <c r="A147" s="312" t="s">
        <v>608</v>
      </c>
      <c r="B147" s="319">
        <v>572462.88</v>
      </c>
    </row>
    <row r="148" spans="1:2" ht="15">
      <c r="A148" s="312" t="s">
        <v>609</v>
      </c>
      <c r="B148" s="313">
        <v>358928.57</v>
      </c>
    </row>
    <row r="149" spans="1:2" ht="15">
      <c r="A149" s="312" t="s">
        <v>532</v>
      </c>
      <c r="B149" s="319">
        <v>1931617.6</v>
      </c>
    </row>
    <row r="150" spans="1:2" ht="15">
      <c r="A150" s="312" t="s">
        <v>533</v>
      </c>
      <c r="B150" s="319">
        <v>2952479.68</v>
      </c>
    </row>
    <row r="151" spans="1:2" ht="15">
      <c r="A151" s="312" t="s">
        <v>534</v>
      </c>
      <c r="B151" s="319">
        <v>1503030.97</v>
      </c>
    </row>
    <row r="152" spans="1:2" ht="15">
      <c r="A152" s="312" t="s">
        <v>610</v>
      </c>
      <c r="B152" s="313">
        <v>3421507.85</v>
      </c>
    </row>
    <row r="153" spans="1:2" ht="15">
      <c r="A153" s="312" t="s">
        <v>535</v>
      </c>
      <c r="B153" s="321">
        <v>7270276.03</v>
      </c>
    </row>
    <row r="154" spans="1:2" ht="15">
      <c r="A154" s="312" t="s">
        <v>536</v>
      </c>
      <c r="B154" s="321">
        <v>18170709.49</v>
      </c>
    </row>
    <row r="155" spans="1:2" ht="15">
      <c r="A155" s="312" t="s">
        <v>503</v>
      </c>
      <c r="B155" s="313">
        <v>3186064.18</v>
      </c>
    </row>
    <row r="156" spans="1:2" ht="15">
      <c r="A156" s="312" t="s">
        <v>504</v>
      </c>
      <c r="B156" s="313">
        <v>1540429.99</v>
      </c>
    </row>
    <row r="157" spans="1:2" ht="15">
      <c r="A157" s="312" t="s">
        <v>611</v>
      </c>
      <c r="B157" s="313">
        <v>2780357.13</v>
      </c>
    </row>
    <row r="158" spans="1:2" ht="15">
      <c r="A158" s="312" t="s">
        <v>537</v>
      </c>
      <c r="B158" s="313">
        <v>1616860.28</v>
      </c>
    </row>
    <row r="159" spans="1:2" ht="15">
      <c r="A159" s="312" t="s">
        <v>612</v>
      </c>
      <c r="B159" s="313">
        <v>3290468.95</v>
      </c>
    </row>
    <row r="160" spans="1:2" ht="15">
      <c r="A160" s="312" t="s">
        <v>613</v>
      </c>
      <c r="B160" s="313">
        <v>4135247.59</v>
      </c>
    </row>
    <row r="161" spans="1:2" ht="15">
      <c r="A161" s="312" t="s">
        <v>538</v>
      </c>
      <c r="B161" s="313">
        <v>107322</v>
      </c>
    </row>
    <row r="162" spans="1:2" ht="15">
      <c r="A162" s="312" t="s">
        <v>614</v>
      </c>
      <c r="B162" s="313">
        <v>201258</v>
      </c>
    </row>
    <row r="163" spans="1:2" ht="15">
      <c r="A163" s="312" t="s">
        <v>343</v>
      </c>
      <c r="B163" s="313">
        <v>126401.16</v>
      </c>
    </row>
    <row r="164" spans="1:2" ht="15">
      <c r="A164" s="312" t="s">
        <v>539</v>
      </c>
      <c r="B164" s="313">
        <v>23268.78</v>
      </c>
    </row>
    <row r="165" spans="1:2" ht="15">
      <c r="A165" s="312" t="s">
        <v>540</v>
      </c>
      <c r="B165" s="319">
        <v>108192.84</v>
      </c>
    </row>
    <row r="166" spans="1:2" ht="15">
      <c r="A166" s="312" t="s">
        <v>541</v>
      </c>
      <c r="B166" s="313">
        <v>1026404.43</v>
      </c>
    </row>
    <row r="167" spans="1:2" ht="15">
      <c r="A167" s="312" t="s">
        <v>615</v>
      </c>
      <c r="B167" s="313">
        <v>245500</v>
      </c>
    </row>
    <row r="168" spans="1:2" ht="15">
      <c r="A168" s="312" t="s">
        <v>616</v>
      </c>
      <c r="B168" s="313">
        <v>11088</v>
      </c>
    </row>
    <row r="169" spans="1:2" ht="22.5">
      <c r="A169" s="312" t="s">
        <v>617</v>
      </c>
      <c r="B169" s="313">
        <v>345435.7</v>
      </c>
    </row>
    <row r="170" spans="1:2" ht="15">
      <c r="A170" s="312" t="s">
        <v>618</v>
      </c>
      <c r="B170" s="313">
        <v>275375</v>
      </c>
    </row>
    <row r="171" spans="1:2" ht="15">
      <c r="A171" s="312" t="s">
        <v>619</v>
      </c>
      <c r="B171" s="313">
        <v>37500</v>
      </c>
    </row>
    <row r="172" spans="1:2" ht="15">
      <c r="A172" s="312" t="s">
        <v>620</v>
      </c>
      <c r="B172" s="313">
        <v>9500000</v>
      </c>
    </row>
    <row r="173" spans="1:2" ht="15">
      <c r="A173" s="312" t="s">
        <v>542</v>
      </c>
      <c r="B173" s="313">
        <v>2914756.46</v>
      </c>
    </row>
    <row r="174" spans="1:2" ht="15">
      <c r="A174" s="312" t="s">
        <v>543</v>
      </c>
      <c r="B174" s="313">
        <v>244256.57</v>
      </c>
    </row>
    <row r="175" spans="1:2" ht="15">
      <c r="A175" s="312" t="s">
        <v>621</v>
      </c>
      <c r="B175" s="313">
        <v>47067.85</v>
      </c>
    </row>
    <row r="176" spans="1:2" ht="15">
      <c r="A176" s="312" t="s">
        <v>622</v>
      </c>
      <c r="B176" s="313">
        <v>11356.26</v>
      </c>
    </row>
    <row r="177" spans="1:2" ht="22.5">
      <c r="A177" s="312" t="s">
        <v>623</v>
      </c>
      <c r="B177" s="313">
        <v>1061.08</v>
      </c>
    </row>
    <row r="178" spans="1:2" ht="15">
      <c r="A178" s="312" t="s">
        <v>544</v>
      </c>
      <c r="B178" s="313">
        <v>1334485.51</v>
      </c>
    </row>
    <row r="179" spans="1:2" ht="15">
      <c r="A179" s="312" t="s">
        <v>624</v>
      </c>
      <c r="B179" s="313">
        <v>4464.29</v>
      </c>
    </row>
    <row r="180" spans="1:2" ht="15">
      <c r="A180" s="314">
        <v>7211</v>
      </c>
      <c r="B180" s="311">
        <v>41234421.28</v>
      </c>
    </row>
    <row r="181" spans="1:2" ht="22.5">
      <c r="A181" s="312" t="s">
        <v>625</v>
      </c>
      <c r="B181" s="313">
        <v>9163713.57</v>
      </c>
    </row>
    <row r="182" spans="1:2" ht="15">
      <c r="A182" s="312" t="s">
        <v>514</v>
      </c>
      <c r="B182" s="315">
        <v>86</v>
      </c>
    </row>
    <row r="183" spans="1:2" ht="15">
      <c r="A183" s="312" t="s">
        <v>555</v>
      </c>
      <c r="B183" s="315">
        <v>258.6</v>
      </c>
    </row>
    <row r="184" spans="1:2" ht="15">
      <c r="A184" s="312" t="s">
        <v>626</v>
      </c>
      <c r="B184" s="313">
        <v>5000</v>
      </c>
    </row>
    <row r="185" spans="1:2" ht="15">
      <c r="A185" s="312" t="s">
        <v>627</v>
      </c>
      <c r="B185" s="313">
        <v>31638897.18</v>
      </c>
    </row>
    <row r="186" spans="1:2" ht="15">
      <c r="A186" s="312" t="s">
        <v>79</v>
      </c>
      <c r="B186" s="313">
        <v>23391</v>
      </c>
    </row>
    <row r="187" spans="1:2" ht="15">
      <c r="A187" s="312" t="s">
        <v>603</v>
      </c>
      <c r="B187" s="313">
        <v>12170</v>
      </c>
    </row>
    <row r="188" spans="1:2" ht="15">
      <c r="A188" s="312" t="s">
        <v>530</v>
      </c>
      <c r="B188" s="315">
        <v>367.81</v>
      </c>
    </row>
    <row r="189" spans="1:2" ht="15">
      <c r="A189" s="312" t="s">
        <v>610</v>
      </c>
      <c r="B189" s="313">
        <v>44410.71</v>
      </c>
    </row>
    <row r="190" spans="1:2" ht="15">
      <c r="A190" s="312" t="s">
        <v>343</v>
      </c>
      <c r="B190" s="313">
        <v>16392.86</v>
      </c>
    </row>
    <row r="191" spans="1:2" ht="15">
      <c r="A191" s="312" t="s">
        <v>616</v>
      </c>
      <c r="B191" s="313">
        <v>4060</v>
      </c>
    </row>
    <row r="192" spans="1:2" ht="15">
      <c r="A192" s="312" t="s">
        <v>628</v>
      </c>
      <c r="B192" s="313">
        <v>239000</v>
      </c>
    </row>
    <row r="193" spans="1:2" ht="15">
      <c r="A193" s="312" t="s">
        <v>622</v>
      </c>
      <c r="B193" s="313">
        <v>86673.55</v>
      </c>
    </row>
    <row r="194" spans="1:2" ht="15">
      <c r="A194" s="314">
        <v>7310</v>
      </c>
      <c r="B194" s="311">
        <v>138890512.72</v>
      </c>
    </row>
    <row r="195" spans="1:2" ht="15">
      <c r="A195" s="312" t="s">
        <v>629</v>
      </c>
      <c r="B195" s="313">
        <v>21619278.59</v>
      </c>
    </row>
    <row r="196" spans="1:2" ht="33.75">
      <c r="A196" s="312" t="s">
        <v>630</v>
      </c>
      <c r="B196" s="313">
        <v>117271234.13</v>
      </c>
    </row>
    <row r="197" spans="1:2" ht="15" hidden="1">
      <c r="A197" s="314">
        <v>7410</v>
      </c>
      <c r="B197" s="311">
        <v>1981011.35</v>
      </c>
    </row>
    <row r="198" spans="1:2" ht="15" hidden="1">
      <c r="A198" s="312" t="s">
        <v>600</v>
      </c>
      <c r="B198" s="313">
        <v>1981011.35</v>
      </c>
    </row>
    <row r="199" spans="1:2" ht="15" hidden="1">
      <c r="A199" s="314">
        <v>7430</v>
      </c>
      <c r="B199" s="311">
        <v>3382.24</v>
      </c>
    </row>
    <row r="200" spans="1:2" ht="15" hidden="1">
      <c r="A200" s="312" t="s">
        <v>631</v>
      </c>
      <c r="B200" s="313">
        <v>3315.24</v>
      </c>
    </row>
    <row r="201" spans="1:2" ht="15" hidden="1">
      <c r="A201" s="312" t="s">
        <v>632</v>
      </c>
      <c r="B201" s="315">
        <v>67</v>
      </c>
    </row>
    <row r="202" spans="1:2" ht="15" hidden="1">
      <c r="A202" s="314">
        <v>7450</v>
      </c>
      <c r="B202" s="311">
        <v>1106.72</v>
      </c>
    </row>
    <row r="203" spans="1:2" ht="15" hidden="1">
      <c r="A203" s="312" t="s">
        <v>530</v>
      </c>
      <c r="B203" s="313">
        <v>1106.72</v>
      </c>
    </row>
    <row r="204" spans="1:2" ht="15" hidden="1">
      <c r="A204" s="314">
        <v>7470</v>
      </c>
      <c r="B204" s="311">
        <v>518579.83</v>
      </c>
    </row>
    <row r="205" spans="1:2" ht="15" hidden="1">
      <c r="A205" s="312" t="s">
        <v>633</v>
      </c>
      <c r="B205" s="313">
        <v>325442.13</v>
      </c>
    </row>
    <row r="206" spans="1:2" ht="15" hidden="1">
      <c r="A206" s="312" t="s">
        <v>634</v>
      </c>
      <c r="B206" s="313">
        <v>193137.69</v>
      </c>
    </row>
    <row r="207" spans="1:2" ht="15" hidden="1">
      <c r="A207" s="312" t="s">
        <v>504</v>
      </c>
      <c r="B207" s="315">
        <v>0.01</v>
      </c>
    </row>
    <row r="208" spans="1:2" ht="15" hidden="1">
      <c r="A208" s="314">
        <v>7710</v>
      </c>
      <c r="B208" s="311">
        <v>62666664</v>
      </c>
    </row>
    <row r="209" spans="1:2" ht="15" hidden="1">
      <c r="A209" s="312" t="s">
        <v>635</v>
      </c>
      <c r="B209" s="313">
        <v>62666664</v>
      </c>
    </row>
    <row r="210" spans="1:2" ht="15" hidden="1">
      <c r="A210" s="314">
        <v>8110</v>
      </c>
      <c r="B210" s="311">
        <v>4288725013.98</v>
      </c>
    </row>
    <row r="211" spans="1:2" ht="15" hidden="1">
      <c r="A211" s="312" t="s">
        <v>517</v>
      </c>
      <c r="B211" s="313">
        <v>3497.4</v>
      </c>
    </row>
    <row r="212" spans="1:2" ht="15" hidden="1">
      <c r="A212" s="312" t="s">
        <v>518</v>
      </c>
      <c r="B212" s="313">
        <v>6570200.9</v>
      </c>
    </row>
    <row r="213" spans="1:2" ht="15" hidden="1">
      <c r="A213" s="312" t="s">
        <v>636</v>
      </c>
      <c r="B213" s="313">
        <v>80051.61</v>
      </c>
    </row>
    <row r="214" spans="1:2" ht="15" hidden="1">
      <c r="A214" s="312" t="s">
        <v>530</v>
      </c>
      <c r="B214" s="313">
        <v>2682.62</v>
      </c>
    </row>
    <row r="215" spans="1:2" ht="22.5" hidden="1">
      <c r="A215" s="312" t="s">
        <v>507</v>
      </c>
      <c r="B215" s="313">
        <v>1784292373.44</v>
      </c>
    </row>
    <row r="216" spans="1:2" ht="15" hidden="1">
      <c r="A216" s="312" t="s">
        <v>533</v>
      </c>
      <c r="B216" s="313">
        <v>30104.91</v>
      </c>
    </row>
    <row r="217" spans="1:2" ht="15" hidden="1">
      <c r="A217" s="312" t="s">
        <v>534</v>
      </c>
      <c r="B217" s="313">
        <v>3266.07</v>
      </c>
    </row>
    <row r="218" spans="1:2" ht="15" hidden="1">
      <c r="A218" s="312" t="s">
        <v>503</v>
      </c>
      <c r="B218" s="313">
        <v>56017.37</v>
      </c>
    </row>
    <row r="219" spans="1:2" ht="15" hidden="1">
      <c r="A219" s="312" t="s">
        <v>504</v>
      </c>
      <c r="B219" s="313">
        <v>63355.64</v>
      </c>
    </row>
    <row r="220" spans="1:2" ht="15" hidden="1">
      <c r="A220" s="312" t="s">
        <v>343</v>
      </c>
      <c r="B220" s="313">
        <v>2497620672.9500003</v>
      </c>
    </row>
    <row r="221" spans="1:2" ht="15" hidden="1">
      <c r="A221" s="312" t="s">
        <v>542</v>
      </c>
      <c r="B221" s="313">
        <v>2791.07</v>
      </c>
    </row>
    <row r="222" spans="1:2" ht="15" hidden="1">
      <c r="A222" s="314">
        <v>8410</v>
      </c>
      <c r="B222" s="311">
        <v>579172959.22</v>
      </c>
    </row>
    <row r="223" spans="1:2" ht="15" hidden="1">
      <c r="A223" s="312" t="s">
        <v>637</v>
      </c>
      <c r="B223" s="313">
        <v>17410714.23</v>
      </c>
    </row>
    <row r="224" spans="1:2" ht="15" hidden="1">
      <c r="A224" s="312" t="s">
        <v>509</v>
      </c>
      <c r="B224" s="313">
        <v>548053.38</v>
      </c>
    </row>
    <row r="225" spans="1:2" ht="15" hidden="1">
      <c r="A225" s="312" t="s">
        <v>512</v>
      </c>
      <c r="B225" s="313">
        <v>439624.82</v>
      </c>
    </row>
    <row r="226" spans="1:2" ht="15" hidden="1">
      <c r="A226" s="312" t="s">
        <v>513</v>
      </c>
      <c r="B226" s="313">
        <v>1489198.84</v>
      </c>
    </row>
    <row r="227" spans="1:2" ht="15" hidden="1">
      <c r="A227" s="312" t="s">
        <v>551</v>
      </c>
      <c r="B227" s="313">
        <v>16182</v>
      </c>
    </row>
    <row r="228" spans="1:2" ht="15" hidden="1">
      <c r="A228" s="312" t="s">
        <v>516</v>
      </c>
      <c r="B228" s="313">
        <v>363216034</v>
      </c>
    </row>
    <row r="229" spans="1:2" ht="15" hidden="1">
      <c r="A229" s="312" t="s">
        <v>517</v>
      </c>
      <c r="B229" s="313">
        <v>1500287.51</v>
      </c>
    </row>
    <row r="230" spans="1:2" ht="15" hidden="1">
      <c r="A230" s="312" t="s">
        <v>518</v>
      </c>
      <c r="B230" s="313">
        <v>23761453.02</v>
      </c>
    </row>
    <row r="231" spans="1:2" ht="15" hidden="1">
      <c r="A231" s="312" t="s">
        <v>638</v>
      </c>
      <c r="B231" s="313">
        <v>93800</v>
      </c>
    </row>
    <row r="232" spans="1:2" ht="15" hidden="1">
      <c r="A232" s="312" t="s">
        <v>520</v>
      </c>
      <c r="B232" s="313">
        <v>794356.29</v>
      </c>
    </row>
    <row r="233" spans="1:2" ht="15" hidden="1">
      <c r="A233" s="312" t="s">
        <v>636</v>
      </c>
      <c r="B233" s="313">
        <v>133749.98</v>
      </c>
    </row>
    <row r="234" spans="1:2" ht="15" hidden="1">
      <c r="A234" s="312" t="s">
        <v>639</v>
      </c>
      <c r="B234" s="313">
        <v>195829.46</v>
      </c>
    </row>
    <row r="235" spans="1:2" ht="15" hidden="1">
      <c r="A235" s="312" t="s">
        <v>527</v>
      </c>
      <c r="B235" s="313">
        <v>285863.97</v>
      </c>
    </row>
    <row r="236" spans="1:2" ht="15" hidden="1">
      <c r="A236" s="312" t="s">
        <v>596</v>
      </c>
      <c r="B236" s="313">
        <v>20000</v>
      </c>
    </row>
    <row r="237" spans="1:2" ht="15" hidden="1">
      <c r="A237" s="312" t="s">
        <v>599</v>
      </c>
      <c r="B237" s="313">
        <v>105060</v>
      </c>
    </row>
    <row r="238" spans="1:2" ht="15" hidden="1">
      <c r="A238" s="312" t="s">
        <v>529</v>
      </c>
      <c r="B238" s="313">
        <v>1952.68</v>
      </c>
    </row>
    <row r="239" spans="1:2" ht="15" hidden="1">
      <c r="A239" s="312" t="s">
        <v>530</v>
      </c>
      <c r="B239" s="313">
        <v>702106.63</v>
      </c>
    </row>
    <row r="240" spans="1:2" ht="15" hidden="1">
      <c r="A240" s="312" t="s">
        <v>531</v>
      </c>
      <c r="B240" s="313">
        <v>922079.01</v>
      </c>
    </row>
    <row r="241" spans="1:2" ht="15" hidden="1">
      <c r="A241" s="312" t="s">
        <v>533</v>
      </c>
      <c r="B241" s="313">
        <v>3889426.81</v>
      </c>
    </row>
    <row r="242" spans="1:2" ht="15" hidden="1">
      <c r="A242" s="312" t="s">
        <v>534</v>
      </c>
      <c r="B242" s="313">
        <v>23707551.58</v>
      </c>
    </row>
    <row r="243" spans="1:2" ht="15" hidden="1">
      <c r="A243" s="312" t="s">
        <v>535</v>
      </c>
      <c r="B243" s="313">
        <v>15607886.33</v>
      </c>
    </row>
    <row r="244" spans="1:2" ht="15" hidden="1">
      <c r="A244" s="312" t="s">
        <v>536</v>
      </c>
      <c r="B244" s="313">
        <v>19943112.52</v>
      </c>
    </row>
    <row r="245" spans="1:2" ht="15" hidden="1">
      <c r="A245" s="312" t="s">
        <v>503</v>
      </c>
      <c r="B245" s="313">
        <v>1520088.45</v>
      </c>
    </row>
    <row r="246" spans="1:2" ht="15" hidden="1">
      <c r="A246" s="312" t="s">
        <v>504</v>
      </c>
      <c r="B246" s="313">
        <v>4123492.75</v>
      </c>
    </row>
    <row r="247" spans="1:2" ht="15" hidden="1">
      <c r="A247" s="312" t="s">
        <v>343</v>
      </c>
      <c r="B247" s="313">
        <v>54987395.04</v>
      </c>
    </row>
    <row r="248" spans="1:2" ht="15" hidden="1">
      <c r="A248" s="312" t="s">
        <v>539</v>
      </c>
      <c r="B248" s="313">
        <v>679479.35</v>
      </c>
    </row>
    <row r="249" spans="1:2" ht="15" hidden="1">
      <c r="A249" s="312" t="s">
        <v>542</v>
      </c>
      <c r="B249" s="313">
        <v>171737.67</v>
      </c>
    </row>
    <row r="250" spans="1:2" ht="15" hidden="1">
      <c r="A250" s="312" t="s">
        <v>543</v>
      </c>
      <c r="B250" s="313">
        <v>1919158.74</v>
      </c>
    </row>
    <row r="251" spans="1:2" ht="15" hidden="1">
      <c r="A251" s="312" t="s">
        <v>544</v>
      </c>
      <c r="B251" s="313">
        <v>40987284.16</v>
      </c>
    </row>
    <row r="252" spans="1:2" ht="15">
      <c r="A252" s="316" t="s">
        <v>329</v>
      </c>
      <c r="B252" s="317">
        <v>7912601181.75</v>
      </c>
    </row>
  </sheetData>
  <sheetProtection/>
  <mergeCells count="1">
    <mergeCell ref="B1:B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N61"/>
  <sheetViews>
    <sheetView view="pageBreakPreview" zoomScale="60" zoomScalePageLayoutView="0" workbookViewId="0" topLeftCell="A19">
      <selection activeCell="J47" sqref="J47"/>
    </sheetView>
  </sheetViews>
  <sheetFormatPr defaultColWidth="9.140625" defaultRowHeight="15"/>
  <cols>
    <col min="1" max="1" width="10.421875" style="10" customWidth="1"/>
    <col min="2" max="2" width="10.57421875" style="0" customWidth="1"/>
    <col min="3" max="3" width="15.421875" style="0" bestFit="1" customWidth="1"/>
    <col min="4" max="4" width="13.57421875" style="0" bestFit="1" customWidth="1"/>
    <col min="7" max="7" width="26.00390625" style="0" customWidth="1"/>
    <col min="8" max="8" width="17.7109375" style="0" bestFit="1" customWidth="1"/>
    <col min="9" max="9" width="17.57421875" style="0" bestFit="1" customWidth="1"/>
    <col min="10" max="10" width="11.8515625" style="0" bestFit="1" customWidth="1"/>
    <col min="11" max="11" width="16.140625" style="0" bestFit="1" customWidth="1"/>
    <col min="12" max="12" width="13.00390625" style="0" bestFit="1" customWidth="1"/>
    <col min="13" max="13" width="10.57421875" style="0" bestFit="1" customWidth="1"/>
    <col min="14" max="14" width="11.7109375" style="0" bestFit="1" customWidth="1"/>
  </cols>
  <sheetData>
    <row r="2" spans="3:7" ht="15">
      <c r="C2" t="s">
        <v>488</v>
      </c>
      <c r="D2" t="s">
        <v>489</v>
      </c>
      <c r="G2" t="s">
        <v>145</v>
      </c>
    </row>
    <row r="3" spans="7:12" ht="47.25">
      <c r="G3" s="327"/>
      <c r="H3" s="328" t="s">
        <v>326</v>
      </c>
      <c r="I3" s="328" t="s">
        <v>640</v>
      </c>
      <c r="J3" s="329" t="s">
        <v>295</v>
      </c>
      <c r="K3" s="328" t="s">
        <v>328</v>
      </c>
      <c r="L3" s="329" t="s">
        <v>329</v>
      </c>
    </row>
    <row r="4" spans="1:12" ht="15.75">
      <c r="A4" s="10">
        <v>3360</v>
      </c>
      <c r="B4" s="283" t="s">
        <v>475</v>
      </c>
      <c r="C4" s="284"/>
      <c r="D4" s="285">
        <v>2850000.01</v>
      </c>
      <c r="G4" s="330" t="s">
        <v>330</v>
      </c>
      <c r="H4" s="329"/>
      <c r="I4" s="331"/>
      <c r="J4" s="331"/>
      <c r="K4" s="331"/>
      <c r="L4" s="331"/>
    </row>
    <row r="5" spans="2:12" ht="15.75">
      <c r="B5" s="283" t="s">
        <v>476</v>
      </c>
      <c r="C5" s="284"/>
      <c r="D5" s="285">
        <v>239355.32</v>
      </c>
      <c r="G5" s="327" t="s">
        <v>641</v>
      </c>
      <c r="H5" s="332">
        <v>1738410</v>
      </c>
      <c r="I5" s="332">
        <v>588092</v>
      </c>
      <c r="J5" s="332">
        <f>82670-91</f>
        <v>82579</v>
      </c>
      <c r="K5" s="333">
        <v>97421</v>
      </c>
      <c r="L5" s="334">
        <f>H5+I5+J5+K5</f>
        <v>2506502</v>
      </c>
    </row>
    <row r="6" spans="2:12" ht="15.75">
      <c r="B6" s="283" t="s">
        <v>477</v>
      </c>
      <c r="C6" s="284"/>
      <c r="D6" s="285">
        <v>19732142.86</v>
      </c>
      <c r="G6" s="335" t="s">
        <v>642</v>
      </c>
      <c r="H6" s="336">
        <v>0</v>
      </c>
      <c r="I6" s="337">
        <v>13354</v>
      </c>
      <c r="J6" s="338">
        <f>10520+234</f>
        <v>10754</v>
      </c>
      <c r="K6" s="338">
        <v>0</v>
      </c>
      <c r="L6" s="337">
        <f>I6+J6</f>
        <v>24108</v>
      </c>
    </row>
    <row r="7" spans="2:12" ht="15.75">
      <c r="B7" s="283" t="s">
        <v>478</v>
      </c>
      <c r="C7" s="284"/>
      <c r="D7" s="285">
        <v>4017857.13</v>
      </c>
      <c r="G7" s="335" t="s">
        <v>643</v>
      </c>
      <c r="H7" s="336">
        <v>830</v>
      </c>
      <c r="I7" s="337">
        <v>7601</v>
      </c>
      <c r="J7" s="337">
        <v>2450</v>
      </c>
      <c r="K7" s="338">
        <v>0</v>
      </c>
      <c r="L7" s="338">
        <f>H7+I7+J7</f>
        <v>10881</v>
      </c>
    </row>
    <row r="8" spans="1:12" ht="15.75">
      <c r="A8" s="10">
        <v>3397</v>
      </c>
      <c r="B8" s="283" t="s">
        <v>475</v>
      </c>
      <c r="C8" s="284"/>
      <c r="D8" s="285">
        <v>548425.93</v>
      </c>
      <c r="G8" s="335" t="s">
        <v>644</v>
      </c>
      <c r="H8" s="337">
        <f>H5-H7</f>
        <v>1737580</v>
      </c>
      <c r="I8" s="337">
        <f>I5+I6-I7</f>
        <v>593845</v>
      </c>
      <c r="J8" s="337">
        <f>J5+J6-J7</f>
        <v>90883</v>
      </c>
      <c r="K8" s="338">
        <v>97421</v>
      </c>
      <c r="L8" s="338">
        <f>H8+I8+J8+K8</f>
        <v>2519729</v>
      </c>
    </row>
    <row r="9" spans="2:12" ht="15.75">
      <c r="B9" s="283" t="s">
        <v>479</v>
      </c>
      <c r="C9" s="284"/>
      <c r="D9" s="286">
        <v>5047615</v>
      </c>
      <c r="G9" s="327"/>
      <c r="H9" s="339"/>
      <c r="I9" s="340"/>
      <c r="J9" s="340"/>
      <c r="K9" s="334"/>
      <c r="L9" s="341"/>
    </row>
    <row r="10" spans="2:12" ht="15.75">
      <c r="B10" s="283" t="s">
        <v>480</v>
      </c>
      <c r="C10" s="284"/>
      <c r="D10" s="285">
        <v>14829164.88</v>
      </c>
      <c r="G10" s="330" t="s">
        <v>333</v>
      </c>
      <c r="H10" s="331"/>
      <c r="I10" s="331"/>
      <c r="J10" s="331"/>
      <c r="K10" s="331"/>
      <c r="L10" s="331"/>
    </row>
    <row r="11" spans="2:12" ht="15.75">
      <c r="B11" s="283" t="s">
        <v>477</v>
      </c>
      <c r="C11" s="284"/>
      <c r="D11" s="285">
        <v>371958.92</v>
      </c>
      <c r="G11" s="327" t="s">
        <v>641</v>
      </c>
      <c r="H11" s="332">
        <v>222161</v>
      </c>
      <c r="I11" s="332">
        <v>395761</v>
      </c>
      <c r="J11" s="332">
        <v>46538</v>
      </c>
      <c r="K11" s="331"/>
      <c r="L11" s="331">
        <f>H11+I11+J11</f>
        <v>664460</v>
      </c>
    </row>
    <row r="12" spans="2:12" ht="15.75">
      <c r="B12" s="283" t="s">
        <v>478</v>
      </c>
      <c r="C12" s="284"/>
      <c r="D12" s="285">
        <v>4105857.13</v>
      </c>
      <c r="G12" s="335" t="s">
        <v>645</v>
      </c>
      <c r="H12" s="337">
        <v>39942</v>
      </c>
      <c r="I12" s="337">
        <v>64447</v>
      </c>
      <c r="J12" s="337">
        <v>8102</v>
      </c>
      <c r="K12" s="336"/>
      <c r="L12" s="336">
        <f>H12+I12+J12</f>
        <v>112491</v>
      </c>
    </row>
    <row r="13" spans="1:12" ht="15.75">
      <c r="A13" s="10">
        <v>3320</v>
      </c>
      <c r="B13" s="283" t="s">
        <v>481</v>
      </c>
      <c r="C13" s="287">
        <v>43478048.77</v>
      </c>
      <c r="D13" s="288"/>
      <c r="G13" s="335" t="s">
        <v>643</v>
      </c>
      <c r="H13" s="337">
        <v>702</v>
      </c>
      <c r="I13" s="337">
        <v>6370</v>
      </c>
      <c r="J13" s="337">
        <v>1939</v>
      </c>
      <c r="K13" s="336"/>
      <c r="L13" s="336">
        <f>H13+I13+J13</f>
        <v>9011</v>
      </c>
    </row>
    <row r="14" spans="2:12" ht="15.75">
      <c r="B14" s="283" t="s">
        <v>482</v>
      </c>
      <c r="C14" s="289">
        <v>3885900000</v>
      </c>
      <c r="D14" s="288"/>
      <c r="G14" s="335" t="s">
        <v>644</v>
      </c>
      <c r="H14" s="337">
        <f>H11+H12-H13</f>
        <v>261401</v>
      </c>
      <c r="I14" s="337">
        <f>I11+I12-I13</f>
        <v>453838</v>
      </c>
      <c r="J14" s="337">
        <f>J11+J12-J13</f>
        <v>52701</v>
      </c>
      <c r="K14" s="336"/>
      <c r="L14" s="336">
        <f>H14+I14+J14</f>
        <v>767940</v>
      </c>
    </row>
    <row r="15" spans="2:12" ht="15.75">
      <c r="B15" s="283" t="s">
        <v>483</v>
      </c>
      <c r="C15" s="284"/>
      <c r="D15" s="285">
        <v>3410386.25</v>
      </c>
      <c r="G15" s="330" t="s">
        <v>334</v>
      </c>
      <c r="H15" s="331"/>
      <c r="I15" s="331"/>
      <c r="J15" s="331"/>
      <c r="K15" s="331"/>
      <c r="L15" s="331"/>
    </row>
    <row r="16" spans="2:14" ht="15.75">
      <c r="B16" s="283" t="s">
        <v>484</v>
      </c>
      <c r="C16" s="290">
        <v>65304159.9</v>
      </c>
      <c r="D16" s="285">
        <v>1635142295.73</v>
      </c>
      <c r="G16" s="327" t="s">
        <v>641</v>
      </c>
      <c r="H16" s="331">
        <f>H5-H11</f>
        <v>1516249</v>
      </c>
      <c r="I16" s="331">
        <f>I5-I11</f>
        <v>192331</v>
      </c>
      <c r="J16" s="331">
        <f>J5-J11</f>
        <v>36041</v>
      </c>
      <c r="K16" s="333">
        <v>97421</v>
      </c>
      <c r="L16" s="331">
        <f>L5-L11</f>
        <v>1842042</v>
      </c>
      <c r="M16" s="342">
        <f>L16-K16</f>
        <v>1744621</v>
      </c>
      <c r="N16" s="296">
        <f>(-2409171992+664460433)/1000</f>
        <v>-1744711.559</v>
      </c>
    </row>
    <row r="17" spans="2:14" ht="15.75">
      <c r="B17" s="283" t="s">
        <v>475</v>
      </c>
      <c r="C17" s="287">
        <v>7836499.16</v>
      </c>
      <c r="D17" s="285">
        <v>196720405.31</v>
      </c>
      <c r="G17" s="335" t="s">
        <v>644</v>
      </c>
      <c r="H17" s="336">
        <f>H8-H14</f>
        <v>1476179</v>
      </c>
      <c r="I17" s="336">
        <f>I8-I14</f>
        <v>140007</v>
      </c>
      <c r="J17" s="336">
        <f>J8-J14</f>
        <v>38182</v>
      </c>
      <c r="K17" s="338">
        <v>97421</v>
      </c>
      <c r="L17" s="336">
        <f>L8-L14</f>
        <v>1751789</v>
      </c>
      <c r="M17" s="342">
        <f>L17-K17</f>
        <v>1654368</v>
      </c>
      <c r="N17" s="296">
        <f>(-2422166236+767939994)/1000</f>
        <v>-1654226.242</v>
      </c>
    </row>
    <row r="18" spans="2:4" ht="15">
      <c r="B18" s="283" t="s">
        <v>485</v>
      </c>
      <c r="C18" s="290">
        <v>573703245.7</v>
      </c>
      <c r="D18" s="286">
        <v>24848072</v>
      </c>
    </row>
    <row r="19" spans="2:7" ht="15">
      <c r="B19" s="283" t="s">
        <v>476</v>
      </c>
      <c r="C19" s="289">
        <v>1042829</v>
      </c>
      <c r="D19" s="288"/>
      <c r="G19" t="s">
        <v>152</v>
      </c>
    </row>
    <row r="20" spans="2:12" ht="47.25">
      <c r="B20" s="283" t="s">
        <v>480</v>
      </c>
      <c r="C20" s="287">
        <v>32385474.94</v>
      </c>
      <c r="D20" s="288"/>
      <c r="G20" s="327"/>
      <c r="H20" s="328" t="s">
        <v>326</v>
      </c>
      <c r="I20" s="328" t="s">
        <v>640</v>
      </c>
      <c r="J20" s="329" t="s">
        <v>295</v>
      </c>
      <c r="K20" s="328" t="s">
        <v>328</v>
      </c>
      <c r="L20" s="329" t="s">
        <v>329</v>
      </c>
    </row>
    <row r="21" spans="2:12" ht="15.75">
      <c r="B21" s="283" t="s">
        <v>486</v>
      </c>
      <c r="C21" s="284"/>
      <c r="D21" s="286">
        <v>128848163</v>
      </c>
      <c r="G21" s="330" t="s">
        <v>330</v>
      </c>
      <c r="H21" s="329"/>
      <c r="I21" s="331"/>
      <c r="J21" s="331"/>
      <c r="K21" s="331"/>
      <c r="L21" s="331"/>
    </row>
    <row r="22" spans="2:12" ht="15.75">
      <c r="B22" s="283" t="s">
        <v>487</v>
      </c>
      <c r="C22" s="284"/>
      <c r="D22" s="285">
        <v>784028.99</v>
      </c>
      <c r="G22" s="327" t="s">
        <v>641</v>
      </c>
      <c r="H22" s="332">
        <v>22050</v>
      </c>
      <c r="I22" s="332">
        <v>197649</v>
      </c>
      <c r="J22" s="332">
        <v>69398</v>
      </c>
      <c r="K22" s="333">
        <v>0</v>
      </c>
      <c r="L22" s="334">
        <f>H22+I22+J22+K22</f>
        <v>289097</v>
      </c>
    </row>
    <row r="23" spans="1:12" ht="15.75">
      <c r="A23" s="10">
        <v>3310</v>
      </c>
      <c r="B23" s="283" t="s">
        <v>483</v>
      </c>
      <c r="C23" s="287">
        <v>56587.97</v>
      </c>
      <c r="D23" s="285">
        <v>15536233.92</v>
      </c>
      <c r="G23" s="335" t="s">
        <v>642</v>
      </c>
      <c r="H23" s="336">
        <v>0</v>
      </c>
      <c r="I23" s="337">
        <v>4397</v>
      </c>
      <c r="J23" s="338">
        <v>5633</v>
      </c>
      <c r="K23" s="338">
        <v>0</v>
      </c>
      <c r="L23" s="337">
        <f>I23+J23</f>
        <v>10030</v>
      </c>
    </row>
    <row r="24" spans="2:12" ht="15.75">
      <c r="B24" s="283" t="s">
        <v>484</v>
      </c>
      <c r="C24" s="287">
        <v>15864756.81</v>
      </c>
      <c r="D24" s="291">
        <v>2426938363.4</v>
      </c>
      <c r="G24" s="335" t="s">
        <v>643</v>
      </c>
      <c r="H24" s="336">
        <v>0</v>
      </c>
      <c r="I24" s="337">
        <v>3391</v>
      </c>
      <c r="J24" s="337">
        <v>2160</v>
      </c>
      <c r="K24" s="338">
        <v>0</v>
      </c>
      <c r="L24" s="338">
        <f>H24+I24+J24</f>
        <v>5551</v>
      </c>
    </row>
    <row r="25" spans="2:12" ht="15.75">
      <c r="B25" s="283" t="s">
        <v>475</v>
      </c>
      <c r="C25" s="287">
        <v>1903770.82</v>
      </c>
      <c r="D25" s="285">
        <v>293243220.59</v>
      </c>
      <c r="G25" s="335" t="s">
        <v>644</v>
      </c>
      <c r="H25" s="337">
        <f>H22-H24</f>
        <v>22050</v>
      </c>
      <c r="I25" s="337">
        <f>I22+I23-I24</f>
        <v>198655</v>
      </c>
      <c r="J25" s="337">
        <f>J22+J23-J24</f>
        <v>72871</v>
      </c>
      <c r="K25" s="338">
        <v>0</v>
      </c>
      <c r="L25" s="338">
        <f>H25+I25+J25+K25</f>
        <v>293576</v>
      </c>
    </row>
    <row r="26" spans="2:12" ht="15.75">
      <c r="B26" s="283" t="s">
        <v>485</v>
      </c>
      <c r="C26" s="287">
        <v>1475953.13</v>
      </c>
      <c r="D26" s="285">
        <v>1475953.13</v>
      </c>
      <c r="G26" s="327"/>
      <c r="H26" s="339"/>
      <c r="I26" s="340"/>
      <c r="J26" s="340"/>
      <c r="K26" s="334"/>
      <c r="L26" s="341"/>
    </row>
    <row r="27" spans="2:12" ht="15.75">
      <c r="B27" s="283" t="s">
        <v>479</v>
      </c>
      <c r="C27" s="284"/>
      <c r="D27" s="286">
        <v>603360</v>
      </c>
      <c r="G27" s="330" t="s">
        <v>333</v>
      </c>
      <c r="H27" s="331"/>
      <c r="I27" s="331"/>
      <c r="J27" s="331"/>
      <c r="K27" s="331"/>
      <c r="L27" s="331"/>
    </row>
    <row r="28" spans="2:12" ht="15.75">
      <c r="B28" s="283" t="s">
        <v>487</v>
      </c>
      <c r="C28" s="284"/>
      <c r="D28" s="285">
        <v>1218905.93</v>
      </c>
      <c r="G28" s="327" t="s">
        <v>641</v>
      </c>
      <c r="H28" s="332">
        <v>1620</v>
      </c>
      <c r="I28" s="332">
        <v>46358</v>
      </c>
      <c r="J28" s="332">
        <v>12973</v>
      </c>
      <c r="K28" s="331"/>
      <c r="L28" s="331">
        <f>H28+I28+J28</f>
        <v>60951</v>
      </c>
    </row>
    <row r="29" spans="1:12" ht="15.75">
      <c r="A29" s="10">
        <v>1200</v>
      </c>
      <c r="B29" s="283" t="s">
        <v>490</v>
      </c>
      <c r="C29" s="287">
        <v>181.56</v>
      </c>
      <c r="D29" s="288"/>
      <c r="G29" s="335" t="s">
        <v>645</v>
      </c>
      <c r="H29" s="337">
        <v>246</v>
      </c>
      <c r="I29" s="337">
        <v>19277</v>
      </c>
      <c r="J29" s="337">
        <v>9429</v>
      </c>
      <c r="K29" s="336"/>
      <c r="L29" s="336">
        <f>H29+I29+J29</f>
        <v>28952</v>
      </c>
    </row>
    <row r="30" spans="2:12" ht="15.75">
      <c r="B30" s="283" t="s">
        <v>491</v>
      </c>
      <c r="C30" s="289">
        <v>1513</v>
      </c>
      <c r="D30" s="288"/>
      <c r="G30" s="335" t="s">
        <v>643</v>
      </c>
      <c r="H30" s="337">
        <v>0</v>
      </c>
      <c r="I30" s="337">
        <v>1339</v>
      </c>
      <c r="J30" s="337">
        <v>680</v>
      </c>
      <c r="K30" s="336"/>
      <c r="L30" s="336">
        <f>H30+I30+J30</f>
        <v>2019</v>
      </c>
    </row>
    <row r="31" spans="2:12" ht="15.75">
      <c r="B31" s="283" t="s">
        <v>482</v>
      </c>
      <c r="C31" s="284"/>
      <c r="D31" s="286">
        <v>3000000</v>
      </c>
      <c r="G31" s="335" t="s">
        <v>644</v>
      </c>
      <c r="H31" s="337">
        <f>H28+H29-H30</f>
        <v>1866</v>
      </c>
      <c r="I31" s="337">
        <f>I28+I29-I30</f>
        <v>64296</v>
      </c>
      <c r="J31" s="337">
        <f>J28+J29-J30</f>
        <v>21722</v>
      </c>
      <c r="K31" s="336"/>
      <c r="L31" s="336">
        <f>H31+I31+J31</f>
        <v>87884</v>
      </c>
    </row>
    <row r="32" spans="2:12" ht="15.75">
      <c r="B32" s="283" t="s">
        <v>490</v>
      </c>
      <c r="C32" s="287">
        <v>959021.83</v>
      </c>
      <c r="D32" s="288"/>
      <c r="G32" s="330" t="s">
        <v>334</v>
      </c>
      <c r="H32" s="331"/>
      <c r="I32" s="331"/>
      <c r="J32" s="331"/>
      <c r="K32" s="331"/>
      <c r="L32" s="331"/>
    </row>
    <row r="33" spans="2:12" ht="15.75">
      <c r="B33" s="283" t="s">
        <v>491</v>
      </c>
      <c r="C33" s="293">
        <v>7991847.48</v>
      </c>
      <c r="D33" s="284"/>
      <c r="G33" s="327" t="s">
        <v>641</v>
      </c>
      <c r="H33" s="331">
        <f>H22-H28</f>
        <v>20430</v>
      </c>
      <c r="I33" s="331">
        <f>I22-I28</f>
        <v>151291</v>
      </c>
      <c r="J33" s="331">
        <f>J22-J28</f>
        <v>56425</v>
      </c>
      <c r="K33" s="333">
        <v>0</v>
      </c>
      <c r="L33" s="331">
        <f>L22-L28</f>
        <v>228146</v>
      </c>
    </row>
    <row r="34" spans="2:12" ht="15.75">
      <c r="B34" s="283" t="s">
        <v>490</v>
      </c>
      <c r="C34" s="287">
        <v>2089285.77</v>
      </c>
      <c r="D34" s="292"/>
      <c r="G34" s="335" t="s">
        <v>644</v>
      </c>
      <c r="H34" s="336">
        <f>H25-H31</f>
        <v>20184</v>
      </c>
      <c r="I34" s="336">
        <f>I25-I31</f>
        <v>134359</v>
      </c>
      <c r="J34" s="336">
        <f>J25-J31</f>
        <v>51149</v>
      </c>
      <c r="K34" s="338">
        <v>0</v>
      </c>
      <c r="L34" s="336">
        <f>L25-L31</f>
        <v>205692</v>
      </c>
    </row>
    <row r="35" spans="2:4" ht="15">
      <c r="B35" s="283" t="s">
        <v>492</v>
      </c>
      <c r="C35" s="300">
        <v>17410714.23</v>
      </c>
      <c r="D35" s="292"/>
    </row>
    <row r="36" spans="2:7" ht="15">
      <c r="B36" s="283" t="s">
        <v>490</v>
      </c>
      <c r="C36" s="287">
        <v>48214.26</v>
      </c>
      <c r="D36" s="292"/>
      <c r="G36" t="s">
        <v>646</v>
      </c>
    </row>
    <row r="37" spans="2:12" ht="47.25">
      <c r="B37" s="283" t="s">
        <v>493</v>
      </c>
      <c r="C37" s="300">
        <v>401785.74</v>
      </c>
      <c r="D37" s="292"/>
      <c r="G37" s="327"/>
      <c r="H37" s="328" t="s">
        <v>326</v>
      </c>
      <c r="I37" s="328" t="s">
        <v>640</v>
      </c>
      <c r="J37" s="329" t="s">
        <v>295</v>
      </c>
      <c r="K37" s="328" t="s">
        <v>328</v>
      </c>
      <c r="L37" s="329" t="s">
        <v>329</v>
      </c>
    </row>
    <row r="38" spans="3:12" ht="15.75">
      <c r="C38" s="295">
        <f>C13+C14-D31</f>
        <v>3926378048.77</v>
      </c>
      <c r="D38" s="292"/>
      <c r="G38" s="330" t="s">
        <v>330</v>
      </c>
      <c r="H38" s="329"/>
      <c r="I38" s="331"/>
      <c r="J38" s="331"/>
      <c r="K38" s="331"/>
      <c r="L38" s="331"/>
    </row>
    <row r="39" spans="3:13" ht="15.75">
      <c r="C39">
        <f>C38/1000</f>
        <v>3926378.0487699998</v>
      </c>
      <c r="G39" s="327" t="s">
        <v>641</v>
      </c>
      <c r="H39" s="332">
        <f aca="true" t="shared" si="0" ref="H39:K41">H5+H22</f>
        <v>1760460</v>
      </c>
      <c r="I39" s="332">
        <f t="shared" si="0"/>
        <v>785741</v>
      </c>
      <c r="J39" s="332">
        <f t="shared" si="0"/>
        <v>151977</v>
      </c>
      <c r="K39" s="332">
        <f t="shared" si="0"/>
        <v>97421</v>
      </c>
      <c r="L39" s="334">
        <f>H39+I39+J39+K39</f>
        <v>2795599</v>
      </c>
      <c r="M39" s="342"/>
    </row>
    <row r="40" spans="3:12" ht="15.75">
      <c r="C40">
        <f>SUBTOTAL(9,C30:C39)</f>
        <v>3959206809.12877</v>
      </c>
      <c r="G40" s="335" t="s">
        <v>642</v>
      </c>
      <c r="H40" s="336">
        <f t="shared" si="0"/>
        <v>0</v>
      </c>
      <c r="I40" s="336">
        <f t="shared" si="0"/>
        <v>17751</v>
      </c>
      <c r="J40" s="336">
        <f t="shared" si="0"/>
        <v>16387</v>
      </c>
      <c r="K40" s="336">
        <f t="shared" si="0"/>
        <v>0</v>
      </c>
      <c r="L40" s="337">
        <f>I40+J40</f>
        <v>34138</v>
      </c>
    </row>
    <row r="41" spans="7:12" ht="15.75">
      <c r="G41" s="335" t="s">
        <v>643</v>
      </c>
      <c r="H41" s="336">
        <f t="shared" si="0"/>
        <v>830</v>
      </c>
      <c r="I41" s="336">
        <f t="shared" si="0"/>
        <v>10992</v>
      </c>
      <c r="J41" s="336">
        <f t="shared" si="0"/>
        <v>4610</v>
      </c>
      <c r="K41" s="336">
        <f t="shared" si="0"/>
        <v>0</v>
      </c>
      <c r="L41" s="338">
        <f>H41+I41+J41</f>
        <v>16432</v>
      </c>
    </row>
    <row r="42" spans="7:12" ht="15.75">
      <c r="G42" s="335" t="s">
        <v>644</v>
      </c>
      <c r="H42" s="337">
        <f>H39+H40-H41</f>
        <v>1759630</v>
      </c>
      <c r="I42" s="337">
        <f>I39+I40-I41</f>
        <v>792500</v>
      </c>
      <c r="J42" s="337">
        <f>J39+J40-J41</f>
        <v>163754</v>
      </c>
      <c r="K42" s="338">
        <v>97421</v>
      </c>
      <c r="L42" s="338">
        <f>H42+I42+J42+K42</f>
        <v>2813305</v>
      </c>
    </row>
    <row r="43" spans="1:12" ht="15.75">
      <c r="A43" s="297">
        <v>880865.9</v>
      </c>
      <c r="B43" s="298">
        <v>45</v>
      </c>
      <c r="G43" s="327"/>
      <c r="H43" s="339"/>
      <c r="I43" s="340"/>
      <c r="J43" s="340"/>
      <c r="K43" s="334"/>
      <c r="L43" s="341"/>
    </row>
    <row r="44" spans="1:12" ht="15.75">
      <c r="A44" s="297">
        <v>1415.18</v>
      </c>
      <c r="B44" s="297">
        <v>4358.93</v>
      </c>
      <c r="G44" s="330" t="s">
        <v>333</v>
      </c>
      <c r="H44" s="331"/>
      <c r="I44" s="331"/>
      <c r="J44" s="331"/>
      <c r="K44" s="331"/>
      <c r="L44" s="331"/>
    </row>
    <row r="45" spans="1:12" ht="15.75">
      <c r="A45" s="297">
        <v>63807.52</v>
      </c>
      <c r="B45" s="298">
        <v>310.71</v>
      </c>
      <c r="G45" s="327" t="s">
        <v>641</v>
      </c>
      <c r="H45" s="332">
        <f aca="true" t="shared" si="1" ref="H45:K46">H11+H28</f>
        <v>223781</v>
      </c>
      <c r="I45" s="332">
        <f t="shared" si="1"/>
        <v>442119</v>
      </c>
      <c r="J45" s="332">
        <f t="shared" si="1"/>
        <v>59511</v>
      </c>
      <c r="K45" s="332">
        <f t="shared" si="1"/>
        <v>0</v>
      </c>
      <c r="L45" s="331">
        <f>H45+I45+J45</f>
        <v>725411</v>
      </c>
    </row>
    <row r="46" spans="7:12" ht="15.75">
      <c r="G46" s="335" t="s">
        <v>645</v>
      </c>
      <c r="H46" s="337">
        <f t="shared" si="1"/>
        <v>40188</v>
      </c>
      <c r="I46" s="337">
        <f t="shared" si="1"/>
        <v>83724</v>
      </c>
      <c r="J46" s="337">
        <f t="shared" si="1"/>
        <v>17531</v>
      </c>
      <c r="K46" s="337">
        <f t="shared" si="1"/>
        <v>0</v>
      </c>
      <c r="L46" s="336">
        <f>H46+I46+J46</f>
        <v>141443</v>
      </c>
    </row>
    <row r="47" spans="1:12" ht="15.75">
      <c r="A47" s="297">
        <v>1356954.64</v>
      </c>
      <c r="B47" s="299"/>
      <c r="G47" s="335" t="s">
        <v>643</v>
      </c>
      <c r="H47" s="337">
        <f>H30+H13</f>
        <v>702</v>
      </c>
      <c r="I47" s="337">
        <f>I30+I13</f>
        <v>7709</v>
      </c>
      <c r="J47" s="337">
        <f>J30+J13</f>
        <v>2619</v>
      </c>
      <c r="K47" s="337">
        <f>K30+K13</f>
        <v>0</v>
      </c>
      <c r="L47" s="336">
        <f>H47+I47+J47</f>
        <v>11030</v>
      </c>
    </row>
    <row r="48" spans="1:12" ht="15.75">
      <c r="A48" s="297">
        <v>7720.53</v>
      </c>
      <c r="B48" s="299"/>
      <c r="G48" s="335" t="s">
        <v>644</v>
      </c>
      <c r="H48" s="337">
        <f>H45+H46-H47</f>
        <v>263267</v>
      </c>
      <c r="I48" s="337">
        <f>I45+I46-I47</f>
        <v>518134</v>
      </c>
      <c r="J48" s="337">
        <f>J45+J46-J47</f>
        <v>74423</v>
      </c>
      <c r="K48" s="337">
        <f>K45+K46-K47</f>
        <v>0</v>
      </c>
      <c r="L48" s="336">
        <f>H48+I48+J48</f>
        <v>855824</v>
      </c>
    </row>
    <row r="49" spans="1:12" ht="15.75">
      <c r="A49" s="297">
        <v>2622.6</v>
      </c>
      <c r="B49" s="297">
        <v>2529.37</v>
      </c>
      <c r="G49" s="330" t="s">
        <v>334</v>
      </c>
      <c r="H49" s="331"/>
      <c r="I49" s="331"/>
      <c r="J49" s="331"/>
      <c r="K49" s="331"/>
      <c r="L49" s="331"/>
    </row>
    <row r="50" spans="1:14" ht="15.75">
      <c r="A50" s="297">
        <v>30407.21</v>
      </c>
      <c r="B50" s="297">
        <v>1050.77</v>
      </c>
      <c r="G50" s="327" t="s">
        <v>641</v>
      </c>
      <c r="H50" s="331">
        <f>H39-H45</f>
        <v>1536679</v>
      </c>
      <c r="I50" s="331">
        <f>I39-I45</f>
        <v>343622</v>
      </c>
      <c r="J50" s="331">
        <f>J39-J45</f>
        <v>92466</v>
      </c>
      <c r="K50" s="333">
        <v>97421</v>
      </c>
      <c r="L50" s="331">
        <f>L39-L45</f>
        <v>2070188</v>
      </c>
      <c r="M50" s="342">
        <f>L50-K50</f>
        <v>1972767</v>
      </c>
      <c r="N50">
        <v>-1972767</v>
      </c>
    </row>
    <row r="51" spans="7:14" ht="15.75">
      <c r="G51" s="335" t="s">
        <v>644</v>
      </c>
      <c r="H51" s="336">
        <f>H42-H48</f>
        <v>1496363</v>
      </c>
      <c r="I51" s="336">
        <f>I42-I48</f>
        <v>274366</v>
      </c>
      <c r="J51" s="336">
        <f>J42-J48</f>
        <v>89331</v>
      </c>
      <c r="K51" s="338">
        <v>97421</v>
      </c>
      <c r="L51" s="336">
        <f>L42-L48</f>
        <v>1957481</v>
      </c>
      <c r="M51" s="342">
        <f>L51-K51</f>
        <v>1860060</v>
      </c>
      <c r="N51">
        <v>-1860060</v>
      </c>
    </row>
    <row r="52" spans="1:2" ht="15">
      <c r="A52" s="297">
        <v>896876.68</v>
      </c>
      <c r="B52" s="299"/>
    </row>
    <row r="53" spans="1:2" ht="15">
      <c r="A53" s="297">
        <v>21842.47</v>
      </c>
      <c r="B53" s="297">
        <v>1895.47</v>
      </c>
    </row>
    <row r="54" spans="1:2" ht="15">
      <c r="A54" s="297">
        <v>3900.09</v>
      </c>
      <c r="B54" s="297">
        <v>1433.03</v>
      </c>
    </row>
    <row r="55" spans="1:2" ht="15">
      <c r="A55" s="297">
        <v>40043.52</v>
      </c>
      <c r="B55" s="298">
        <v>167.86</v>
      </c>
    </row>
    <row r="57" spans="1:4" ht="15">
      <c r="A57" s="297">
        <v>6271346.06</v>
      </c>
      <c r="B57" s="297">
        <v>1108470.93</v>
      </c>
      <c r="D57" s="294">
        <f>C30+C33-A57-A58-A59-A60-B57-B58-B59-B60</f>
        <v>-16057.639999999017</v>
      </c>
    </row>
    <row r="58" spans="1:2" ht="15">
      <c r="A58" s="297">
        <v>29563</v>
      </c>
      <c r="B58" s="297">
        <v>1895.47</v>
      </c>
    </row>
    <row r="59" spans="1:2" ht="15">
      <c r="A59" s="297">
        <v>47440.94</v>
      </c>
      <c r="B59" s="297">
        <v>18746.24</v>
      </c>
    </row>
    <row r="60" spans="1:2" ht="15">
      <c r="A60" s="297">
        <v>515554.74</v>
      </c>
      <c r="B60" s="297">
        <v>16400.74</v>
      </c>
    </row>
    <row r="61" spans="1:3" ht="15">
      <c r="A61" s="301">
        <v>401785.74</v>
      </c>
      <c r="B61" s="299"/>
      <c r="C61" s="301">
        <v>17410714.23</v>
      </c>
    </row>
  </sheetData>
  <sheetProtection/>
  <autoFilter ref="A3:D39"/>
  <printOptions/>
  <pageMargins left="0.7" right="0.7" top="0.75" bottom="0.75" header="0.3" footer="0.3"/>
  <pageSetup horizontalDpi="600" verticalDpi="600" orientation="portrait" paperSize="9" scale="85" r:id="rId1"/>
  <rowBreaks count="1" manualBreakCount="1">
    <brk id="35" max="255" man="1"/>
  </rowBreaks>
  <colBreaks count="2" manualBreakCount="2">
    <brk id="6" max="60" man="1"/>
    <brk id="12" max="65535" man="1"/>
  </colBreaks>
</worksheet>
</file>

<file path=xl/worksheets/sheet2.xml><?xml version="1.0" encoding="utf-8"?>
<worksheet xmlns="http://schemas.openxmlformats.org/spreadsheetml/2006/main" xmlns:r="http://schemas.openxmlformats.org/officeDocument/2006/relationships">
  <dimension ref="A1:Z82"/>
  <sheetViews>
    <sheetView view="pageBreakPreview" zoomScale="60" zoomScaleNormal="60" zoomScalePageLayoutView="0" workbookViewId="0" topLeftCell="A46">
      <selection activeCell="N68" sqref="N68"/>
    </sheetView>
  </sheetViews>
  <sheetFormatPr defaultColWidth="9.140625" defaultRowHeight="15"/>
  <cols>
    <col min="1" max="4" width="9.140625" style="504" customWidth="1"/>
    <col min="5" max="5" width="11.28125" style="504" customWidth="1"/>
    <col min="6" max="6" width="12.7109375" style="504" customWidth="1"/>
    <col min="7" max="7" width="10.8515625" style="504" customWidth="1"/>
    <col min="8" max="8" width="17.00390625" style="504" hidden="1" customWidth="1"/>
    <col min="9" max="9" width="17.57421875" style="504" hidden="1" customWidth="1"/>
    <col min="10" max="10" width="19.140625" style="504" hidden="1" customWidth="1"/>
    <col min="11" max="11" width="16.28125" style="504" hidden="1" customWidth="1"/>
    <col min="12" max="12" width="15.140625" style="504" hidden="1" customWidth="1"/>
    <col min="13" max="13" width="15.421875" style="504" hidden="1" customWidth="1"/>
    <col min="14" max="14" width="15.57421875" style="557" customWidth="1"/>
    <col min="15" max="15" width="16.8515625" style="557" hidden="1" customWidth="1"/>
    <col min="16" max="16" width="14.421875" style="557" hidden="1" customWidth="1"/>
    <col min="17" max="19" width="13.28125" style="557" hidden="1" customWidth="1"/>
    <col min="20" max="20" width="11.421875" style="557" hidden="1" customWidth="1"/>
    <col min="21" max="21" width="17.140625" style="557" customWidth="1"/>
    <col min="22" max="23" width="13.7109375" style="504" bestFit="1" customWidth="1"/>
    <col min="24" max="16384" width="9.140625" style="504" customWidth="1"/>
  </cols>
  <sheetData>
    <row r="1" spans="1:21" ht="18.75">
      <c r="A1" s="647" t="s">
        <v>0</v>
      </c>
      <c r="B1" s="647"/>
      <c r="C1" s="647"/>
      <c r="D1" s="647"/>
      <c r="E1" s="647"/>
      <c r="F1" s="647"/>
      <c r="G1" s="647"/>
      <c r="H1" s="647"/>
      <c r="I1" s="647"/>
      <c r="J1" s="647"/>
      <c r="K1" s="647"/>
      <c r="L1" s="647"/>
      <c r="M1" s="647"/>
      <c r="N1" s="647"/>
      <c r="O1" s="647"/>
      <c r="P1" s="647"/>
      <c r="Q1" s="647"/>
      <c r="R1" s="647"/>
      <c r="S1" s="647"/>
      <c r="T1" s="647"/>
      <c r="U1" s="647"/>
    </row>
    <row r="2" spans="1:21" ht="15.75">
      <c r="A2" s="648" t="s">
        <v>829</v>
      </c>
      <c r="B2" s="648"/>
      <c r="C2" s="648"/>
      <c r="D2" s="648"/>
      <c r="E2" s="648"/>
      <c r="F2" s="648"/>
      <c r="G2" s="648"/>
      <c r="H2" s="648"/>
      <c r="I2" s="648"/>
      <c r="J2" s="648"/>
      <c r="K2" s="648"/>
      <c r="L2" s="648"/>
      <c r="M2" s="648"/>
      <c r="N2" s="648"/>
      <c r="O2" s="648"/>
      <c r="P2" s="648"/>
      <c r="Q2" s="648"/>
      <c r="R2" s="648"/>
      <c r="S2" s="648"/>
      <c r="T2" s="648"/>
      <c r="U2" s="648"/>
    </row>
    <row r="3" spans="1:22" ht="15.75">
      <c r="A3" s="676" t="s">
        <v>871</v>
      </c>
      <c r="B3" s="676"/>
      <c r="C3" s="676"/>
      <c r="D3" s="676"/>
      <c r="E3" s="676"/>
      <c r="F3" s="676"/>
      <c r="G3" s="676"/>
      <c r="H3" s="676"/>
      <c r="I3" s="676"/>
      <c r="J3" s="676"/>
      <c r="K3" s="676"/>
      <c r="L3" s="676"/>
      <c r="M3" s="676"/>
      <c r="N3" s="676"/>
      <c r="O3" s="676"/>
      <c r="P3" s="676"/>
      <c r="Q3" s="676"/>
      <c r="R3" s="676"/>
      <c r="S3" s="676"/>
      <c r="T3" s="676"/>
      <c r="U3" s="676"/>
      <c r="V3" s="550"/>
    </row>
    <row r="4" spans="1:21" ht="15.75">
      <c r="A4" s="122"/>
      <c r="B4" s="122"/>
      <c r="C4" s="122"/>
      <c r="D4" s="122"/>
      <c r="E4" s="122"/>
      <c r="F4" s="122"/>
      <c r="G4" s="122"/>
      <c r="H4" s="122" t="s">
        <v>290</v>
      </c>
      <c r="I4" s="123"/>
      <c r="J4" s="123"/>
      <c r="K4" s="123"/>
      <c r="L4" s="123"/>
      <c r="M4" s="123"/>
      <c r="N4" s="123"/>
      <c r="O4" s="123"/>
      <c r="P4" s="123"/>
      <c r="Q4" s="123"/>
      <c r="R4" s="123"/>
      <c r="S4" s="123"/>
      <c r="T4" s="123"/>
      <c r="U4" s="11" t="s">
        <v>1</v>
      </c>
    </row>
    <row r="5" spans="1:26" ht="43.5" customHeight="1">
      <c r="A5" s="650" t="s">
        <v>2</v>
      </c>
      <c r="B5" s="651"/>
      <c r="C5" s="651"/>
      <c r="D5" s="651"/>
      <c r="E5" s="651"/>
      <c r="F5" s="652"/>
      <c r="G5" s="528" t="s">
        <v>3</v>
      </c>
      <c r="H5" s="488" t="s">
        <v>857</v>
      </c>
      <c r="I5" s="488" t="s">
        <v>858</v>
      </c>
      <c r="J5" s="488" t="s">
        <v>859</v>
      </c>
      <c r="K5" s="488" t="s">
        <v>838</v>
      </c>
      <c r="L5" s="488" t="s">
        <v>839</v>
      </c>
      <c r="M5" s="488" t="s">
        <v>860</v>
      </c>
      <c r="N5" s="488" t="s">
        <v>856</v>
      </c>
      <c r="O5" s="488" t="s">
        <v>655</v>
      </c>
      <c r="P5" s="488" t="s">
        <v>656</v>
      </c>
      <c r="Q5" s="488" t="s">
        <v>657</v>
      </c>
      <c r="R5" s="488" t="s">
        <v>658</v>
      </c>
      <c r="S5" s="488" t="s">
        <v>659</v>
      </c>
      <c r="T5" s="488" t="s">
        <v>660</v>
      </c>
      <c r="U5" s="488" t="s">
        <v>832</v>
      </c>
      <c r="V5" s="503"/>
      <c r="W5" s="503"/>
      <c r="X5" s="503"/>
      <c r="Y5" s="503"/>
      <c r="Z5" s="503"/>
    </row>
    <row r="6" spans="1:26" ht="15.75">
      <c r="A6" s="650" t="s">
        <v>7</v>
      </c>
      <c r="B6" s="651"/>
      <c r="C6" s="651"/>
      <c r="D6" s="651"/>
      <c r="E6" s="651"/>
      <c r="F6" s="652"/>
      <c r="G6" s="528"/>
      <c r="H6" s="488"/>
      <c r="I6" s="488"/>
      <c r="J6" s="488"/>
      <c r="K6" s="488"/>
      <c r="L6" s="488"/>
      <c r="M6" s="488"/>
      <c r="N6" s="488"/>
      <c r="O6" s="488"/>
      <c r="P6" s="488"/>
      <c r="Q6" s="488"/>
      <c r="R6" s="488"/>
      <c r="S6" s="488"/>
      <c r="T6" s="488"/>
      <c r="U6" s="488"/>
      <c r="V6" s="503"/>
      <c r="W6" s="503"/>
      <c r="X6" s="503"/>
      <c r="Y6" s="503"/>
      <c r="Z6" s="503"/>
    </row>
    <row r="7" spans="1:26" ht="15.75">
      <c r="A7" s="653" t="s">
        <v>8</v>
      </c>
      <c r="B7" s="654"/>
      <c r="C7" s="654"/>
      <c r="D7" s="654"/>
      <c r="E7" s="654"/>
      <c r="F7" s="655"/>
      <c r="G7" s="125"/>
      <c r="H7" s="541"/>
      <c r="I7" s="127"/>
      <c r="J7" s="127"/>
      <c r="K7" s="127"/>
      <c r="L7" s="127"/>
      <c r="M7" s="127"/>
      <c r="N7" s="127"/>
      <c r="O7" s="127"/>
      <c r="P7" s="127"/>
      <c r="Q7" s="127"/>
      <c r="R7" s="127"/>
      <c r="S7" s="127"/>
      <c r="T7" s="127"/>
      <c r="U7" s="127"/>
      <c r="V7" s="503"/>
      <c r="W7" s="503"/>
      <c r="X7" s="503"/>
      <c r="Y7" s="503"/>
      <c r="Z7" s="503"/>
    </row>
    <row r="8" spans="1:26" ht="15.75">
      <c r="A8" s="656" t="s">
        <v>9</v>
      </c>
      <c r="B8" s="656"/>
      <c r="C8" s="656"/>
      <c r="D8" s="656"/>
      <c r="E8" s="656"/>
      <c r="F8" s="656"/>
      <c r="G8" s="131">
        <v>10</v>
      </c>
      <c r="H8" s="180">
        <v>10747</v>
      </c>
      <c r="I8" s="133">
        <v>70806</v>
      </c>
      <c r="J8" s="133"/>
      <c r="K8" s="133"/>
      <c r="L8" s="133"/>
      <c r="M8" s="133"/>
      <c r="N8" s="133">
        <f aca="true" t="shared" si="0" ref="N8:N18">SUM(H8:M8)</f>
        <v>81553</v>
      </c>
      <c r="O8" s="133">
        <v>11220</v>
      </c>
      <c r="P8" s="133">
        <v>142609</v>
      </c>
      <c r="Q8" s="133">
        <v>60</v>
      </c>
      <c r="R8" s="133"/>
      <c r="S8" s="133"/>
      <c r="T8" s="133"/>
      <c r="U8" s="133">
        <v>112614</v>
      </c>
      <c r="V8" s="551">
        <f>U8-N8</f>
        <v>31061</v>
      </c>
      <c r="W8" s="503"/>
      <c r="X8" s="503"/>
      <c r="Y8" s="503"/>
      <c r="Z8" s="503"/>
    </row>
    <row r="9" spans="1:26" ht="15.75">
      <c r="A9" s="646" t="s">
        <v>10</v>
      </c>
      <c r="B9" s="646"/>
      <c r="C9" s="646"/>
      <c r="D9" s="646"/>
      <c r="E9" s="646"/>
      <c r="F9" s="646"/>
      <c r="G9" s="131">
        <v>11</v>
      </c>
      <c r="H9" s="552">
        <v>4560</v>
      </c>
      <c r="I9" s="138"/>
      <c r="J9" s="138"/>
      <c r="K9" s="138"/>
      <c r="L9" s="138"/>
      <c r="M9" s="138"/>
      <c r="N9" s="133">
        <f t="shared" si="0"/>
        <v>4560</v>
      </c>
      <c r="O9" s="133">
        <v>6140</v>
      </c>
      <c r="P9" s="133"/>
      <c r="Q9" s="133"/>
      <c r="R9" s="133"/>
      <c r="S9" s="133"/>
      <c r="T9" s="133"/>
      <c r="U9" s="133">
        <v>4560</v>
      </c>
      <c r="V9" s="503"/>
      <c r="W9" s="503"/>
      <c r="X9" s="503"/>
      <c r="Y9" s="503"/>
      <c r="Z9" s="503"/>
    </row>
    <row r="10" spans="1:26" ht="15.75">
      <c r="A10" s="646" t="s">
        <v>11</v>
      </c>
      <c r="B10" s="646"/>
      <c r="C10" s="646"/>
      <c r="D10" s="646"/>
      <c r="E10" s="646"/>
      <c r="F10" s="646"/>
      <c r="G10" s="131">
        <v>12</v>
      </c>
      <c r="H10" s="552"/>
      <c r="I10" s="138"/>
      <c r="J10" s="138"/>
      <c r="K10" s="138"/>
      <c r="L10" s="138"/>
      <c r="M10" s="138"/>
      <c r="N10" s="133">
        <f t="shared" si="0"/>
        <v>0</v>
      </c>
      <c r="O10" s="133"/>
      <c r="P10" s="133"/>
      <c r="Q10" s="133"/>
      <c r="R10" s="133"/>
      <c r="S10" s="133"/>
      <c r="T10" s="133"/>
      <c r="U10" s="133">
        <v>0</v>
      </c>
      <c r="V10" s="503"/>
      <c r="W10" s="503"/>
      <c r="X10" s="503"/>
      <c r="Y10" s="503"/>
      <c r="Z10" s="503"/>
    </row>
    <row r="11" spans="1:26" ht="15.75">
      <c r="A11" s="657" t="s">
        <v>12</v>
      </c>
      <c r="B11" s="658"/>
      <c r="C11" s="658"/>
      <c r="D11" s="658"/>
      <c r="E11" s="658"/>
      <c r="F11" s="659"/>
      <c r="G11" s="131">
        <v>13</v>
      </c>
      <c r="H11" s="552"/>
      <c r="I11" s="138"/>
      <c r="J11" s="138"/>
      <c r="K11" s="138"/>
      <c r="L11" s="138"/>
      <c r="M11" s="138"/>
      <c r="N11" s="133">
        <f t="shared" si="0"/>
        <v>0</v>
      </c>
      <c r="O11" s="133"/>
      <c r="P11" s="133"/>
      <c r="Q11" s="133"/>
      <c r="R11" s="133"/>
      <c r="S11" s="133"/>
      <c r="T11" s="133"/>
      <c r="U11" s="133">
        <v>0</v>
      </c>
      <c r="V11" s="503"/>
      <c r="W11" s="503"/>
      <c r="X11" s="503"/>
      <c r="Y11" s="503"/>
      <c r="Z11" s="503"/>
    </row>
    <row r="12" spans="1:26" ht="15.75">
      <c r="A12" s="646" t="s">
        <v>13</v>
      </c>
      <c r="B12" s="646"/>
      <c r="C12" s="646"/>
      <c r="D12" s="646"/>
      <c r="E12" s="646"/>
      <c r="F12" s="646"/>
      <c r="G12" s="131">
        <v>14</v>
      </c>
      <c r="H12" s="552"/>
      <c r="I12" s="138"/>
      <c r="J12" s="138"/>
      <c r="K12" s="138"/>
      <c r="L12" s="138"/>
      <c r="M12" s="138"/>
      <c r="N12" s="133">
        <f t="shared" si="0"/>
        <v>0</v>
      </c>
      <c r="O12" s="133"/>
      <c r="P12" s="133"/>
      <c r="Q12" s="133"/>
      <c r="R12" s="133"/>
      <c r="S12" s="133"/>
      <c r="T12" s="133"/>
      <c r="U12" s="133">
        <v>0</v>
      </c>
      <c r="V12" s="503"/>
      <c r="W12" s="503"/>
      <c r="X12" s="503"/>
      <c r="Y12" s="503"/>
      <c r="Z12" s="503"/>
    </row>
    <row r="13" spans="1:26" ht="15.75">
      <c r="A13" s="646" t="s">
        <v>14</v>
      </c>
      <c r="B13" s="646"/>
      <c r="C13" s="646"/>
      <c r="D13" s="646"/>
      <c r="E13" s="646"/>
      <c r="F13" s="646"/>
      <c r="G13" s="131">
        <v>15</v>
      </c>
      <c r="H13" s="552"/>
      <c r="I13" s="138">
        <v>185415</v>
      </c>
      <c r="J13" s="138"/>
      <c r="K13" s="138"/>
      <c r="L13" s="138"/>
      <c r="M13" s="138"/>
      <c r="N13" s="133">
        <f t="shared" si="0"/>
        <v>185415</v>
      </c>
      <c r="O13" s="133"/>
      <c r="P13" s="133">
        <v>195216</v>
      </c>
      <c r="Q13" s="133"/>
      <c r="R13" s="133"/>
      <c r="S13" s="133"/>
      <c r="T13" s="133"/>
      <c r="U13" s="133">
        <v>414213</v>
      </c>
      <c r="V13" s="503"/>
      <c r="W13" s="503"/>
      <c r="X13" s="503"/>
      <c r="Y13" s="503"/>
      <c r="Z13" s="503"/>
    </row>
    <row r="14" spans="1:26" ht="28.5" customHeight="1">
      <c r="A14" s="660" t="s">
        <v>15</v>
      </c>
      <c r="B14" s="660"/>
      <c r="C14" s="660"/>
      <c r="D14" s="660"/>
      <c r="E14" s="660"/>
      <c r="F14" s="660"/>
      <c r="G14" s="131">
        <v>16</v>
      </c>
      <c r="H14" s="180">
        <f>564213-37779-239139-180</f>
        <v>287115</v>
      </c>
      <c r="I14" s="133">
        <v>97602</v>
      </c>
      <c r="J14" s="133"/>
      <c r="K14" s="163">
        <v>-268603</v>
      </c>
      <c r="L14" s="133"/>
      <c r="M14" s="133"/>
      <c r="N14" s="133">
        <f t="shared" si="0"/>
        <v>116114</v>
      </c>
      <c r="O14" s="133">
        <v>450358</v>
      </c>
      <c r="P14" s="133">
        <v>73432</v>
      </c>
      <c r="Q14" s="133">
        <v>23478</v>
      </c>
      <c r="R14" s="133">
        <v>-409988</v>
      </c>
      <c r="S14" s="133"/>
      <c r="T14" s="133">
        <f>-2107-14994-3068</f>
        <v>-20169</v>
      </c>
      <c r="U14" s="133">
        <v>125074</v>
      </c>
      <c r="V14" s="503"/>
      <c r="W14" s="503"/>
      <c r="X14" s="503"/>
      <c r="Y14" s="503"/>
      <c r="Z14" s="503"/>
    </row>
    <row r="15" spans="1:26" ht="15.75">
      <c r="A15" s="640" t="s">
        <v>661</v>
      </c>
      <c r="B15" s="641"/>
      <c r="C15" s="641"/>
      <c r="D15" s="641"/>
      <c r="E15" s="641"/>
      <c r="F15" s="642"/>
      <c r="G15" s="131">
        <v>17</v>
      </c>
      <c r="H15" s="180">
        <v>37779</v>
      </c>
      <c r="I15" s="133">
        <v>38455</v>
      </c>
      <c r="J15" s="133"/>
      <c r="K15" s="133"/>
      <c r="L15" s="133"/>
      <c r="M15" s="133"/>
      <c r="N15" s="133">
        <f t="shared" si="0"/>
        <v>76234</v>
      </c>
      <c r="O15" s="133">
        <v>150417</v>
      </c>
      <c r="P15" s="133">
        <v>28512</v>
      </c>
      <c r="Q15" s="133"/>
      <c r="R15" s="133"/>
      <c r="S15" s="133"/>
      <c r="T15" s="133">
        <v>-116</v>
      </c>
      <c r="U15" s="133">
        <v>161942</v>
      </c>
      <c r="V15" s="503"/>
      <c r="W15" s="503"/>
      <c r="X15" s="503"/>
      <c r="Y15" s="503"/>
      <c r="Z15" s="503"/>
    </row>
    <row r="16" spans="1:26" ht="15.75">
      <c r="A16" s="656" t="s">
        <v>16</v>
      </c>
      <c r="B16" s="656"/>
      <c r="C16" s="656"/>
      <c r="D16" s="656"/>
      <c r="E16" s="656"/>
      <c r="F16" s="656"/>
      <c r="G16" s="131">
        <v>18</v>
      </c>
      <c r="H16" s="552">
        <v>39655</v>
      </c>
      <c r="I16" s="138">
        <v>9974</v>
      </c>
      <c r="J16" s="138"/>
      <c r="K16" s="138"/>
      <c r="L16" s="138"/>
      <c r="M16" s="138"/>
      <c r="N16" s="133">
        <f t="shared" si="0"/>
        <v>49629</v>
      </c>
      <c r="O16" s="133">
        <v>0</v>
      </c>
      <c r="P16" s="133">
        <v>8197</v>
      </c>
      <c r="Q16" s="133"/>
      <c r="R16" s="133"/>
      <c r="S16" s="133"/>
      <c r="T16" s="133"/>
      <c r="U16" s="133">
        <v>54739</v>
      </c>
      <c r="V16" s="503"/>
      <c r="W16" s="503"/>
      <c r="X16" s="503"/>
      <c r="Y16" s="503"/>
      <c r="Z16" s="503"/>
    </row>
    <row r="17" spans="1:26" ht="15.75">
      <c r="A17" s="646" t="s">
        <v>17</v>
      </c>
      <c r="B17" s="646"/>
      <c r="C17" s="646"/>
      <c r="D17" s="646"/>
      <c r="E17" s="646"/>
      <c r="F17" s="646"/>
      <c r="G17" s="131">
        <v>19</v>
      </c>
      <c r="H17" s="180">
        <v>347653</v>
      </c>
      <c r="I17" s="133">
        <v>444253</v>
      </c>
      <c r="J17" s="133"/>
      <c r="K17" s="133"/>
      <c r="L17" s="133"/>
      <c r="M17" s="133"/>
      <c r="N17" s="133">
        <f t="shared" si="0"/>
        <v>791906</v>
      </c>
      <c r="O17" s="133">
        <v>352125</v>
      </c>
      <c r="P17" s="133">
        <v>283704</v>
      </c>
      <c r="Q17" s="133">
        <v>175</v>
      </c>
      <c r="R17" s="133"/>
      <c r="S17" s="133"/>
      <c r="T17" s="133"/>
      <c r="U17" s="133">
        <v>580212</v>
      </c>
      <c r="V17" s="503"/>
      <c r="W17" s="503"/>
      <c r="X17" s="503"/>
      <c r="Y17" s="503"/>
      <c r="Z17" s="503"/>
    </row>
    <row r="18" spans="1:26" ht="15.75">
      <c r="A18" s="656" t="s">
        <v>18</v>
      </c>
      <c r="B18" s="656"/>
      <c r="C18" s="656"/>
      <c r="D18" s="656"/>
      <c r="E18" s="656"/>
      <c r="F18" s="656"/>
      <c r="G18" s="131">
        <v>20</v>
      </c>
      <c r="H18" s="180">
        <v>4736</v>
      </c>
      <c r="I18" s="133">
        <v>3993</v>
      </c>
      <c r="J18" s="133"/>
      <c r="K18" s="133"/>
      <c r="L18" s="133"/>
      <c r="M18" s="133"/>
      <c r="N18" s="133">
        <f t="shared" si="0"/>
        <v>8729</v>
      </c>
      <c r="O18" s="133">
        <f>6145+14+1248+76</f>
        <v>7483</v>
      </c>
      <c r="P18" s="133">
        <v>15018</v>
      </c>
      <c r="Q18" s="133">
        <f>657</f>
        <v>657</v>
      </c>
      <c r="R18" s="133"/>
      <c r="S18" s="133"/>
      <c r="T18" s="133"/>
      <c r="U18" s="133">
        <v>10311</v>
      </c>
      <c r="V18" s="503"/>
      <c r="W18" s="503"/>
      <c r="X18" s="503"/>
      <c r="Y18" s="503"/>
      <c r="Z18" s="503"/>
    </row>
    <row r="19" spans="1:26" ht="15.75">
      <c r="A19" s="661" t="s">
        <v>19</v>
      </c>
      <c r="B19" s="661"/>
      <c r="C19" s="661"/>
      <c r="D19" s="661"/>
      <c r="E19" s="661"/>
      <c r="F19" s="661"/>
      <c r="G19" s="530">
        <v>100</v>
      </c>
      <c r="H19" s="182">
        <f>SUM(H8:H18)</f>
        <v>732245</v>
      </c>
      <c r="I19" s="144">
        <f>SUM(I8:I18)</f>
        <v>850498</v>
      </c>
      <c r="J19" s="144"/>
      <c r="K19" s="116">
        <f>SUM(K8:K18)</f>
        <v>-268603</v>
      </c>
      <c r="L19" s="182">
        <f>SUM(L8:L18)</f>
        <v>0</v>
      </c>
      <c r="M19" s="182"/>
      <c r="N19" s="116">
        <f aca="true" t="shared" si="1" ref="N19:U19">SUM(N8:N18)</f>
        <v>1314140</v>
      </c>
      <c r="O19" s="144">
        <f t="shared" si="1"/>
        <v>977743</v>
      </c>
      <c r="P19" s="144">
        <f t="shared" si="1"/>
        <v>746688</v>
      </c>
      <c r="Q19" s="144">
        <f t="shared" si="1"/>
        <v>24370</v>
      </c>
      <c r="R19" s="144">
        <f t="shared" si="1"/>
        <v>-409988</v>
      </c>
      <c r="S19" s="144">
        <f t="shared" si="1"/>
        <v>0</v>
      </c>
      <c r="T19" s="144">
        <f t="shared" si="1"/>
        <v>-20285</v>
      </c>
      <c r="U19" s="144">
        <f t="shared" si="1"/>
        <v>1463665</v>
      </c>
      <c r="V19" s="503"/>
      <c r="W19" s="503"/>
      <c r="X19" s="503"/>
      <c r="Y19" s="503"/>
      <c r="Z19" s="503"/>
    </row>
    <row r="20" spans="1:26" ht="30" customHeight="1">
      <c r="A20" s="662" t="s">
        <v>20</v>
      </c>
      <c r="B20" s="662"/>
      <c r="C20" s="662"/>
      <c r="D20" s="662"/>
      <c r="E20" s="662"/>
      <c r="F20" s="662"/>
      <c r="G20" s="530">
        <v>101</v>
      </c>
      <c r="H20" s="182"/>
      <c r="I20" s="144"/>
      <c r="J20" s="144"/>
      <c r="K20" s="144"/>
      <c r="L20" s="144"/>
      <c r="M20" s="144"/>
      <c r="N20" s="133">
        <f aca="true" t="shared" si="2" ref="N20:N36">SUM(H20:M20)</f>
        <v>0</v>
      </c>
      <c r="O20" s="133"/>
      <c r="P20" s="133"/>
      <c r="Q20" s="133"/>
      <c r="R20" s="133"/>
      <c r="S20" s="133"/>
      <c r="T20" s="133"/>
      <c r="U20" s="144"/>
      <c r="V20" s="503"/>
      <c r="W20" s="503"/>
      <c r="X20" s="503"/>
      <c r="Y20" s="503"/>
      <c r="Z20" s="503"/>
    </row>
    <row r="21" spans="1:26" ht="15.75">
      <c r="A21" s="653" t="s">
        <v>21</v>
      </c>
      <c r="B21" s="654"/>
      <c r="C21" s="654"/>
      <c r="D21" s="654"/>
      <c r="E21" s="654"/>
      <c r="F21" s="655"/>
      <c r="G21" s="125"/>
      <c r="H21" s="541"/>
      <c r="I21" s="127"/>
      <c r="J21" s="127"/>
      <c r="K21" s="127"/>
      <c r="L21" s="127"/>
      <c r="M21" s="127"/>
      <c r="N21" s="133">
        <f t="shared" si="2"/>
        <v>0</v>
      </c>
      <c r="O21" s="133"/>
      <c r="P21" s="133"/>
      <c r="Q21" s="133"/>
      <c r="R21" s="133"/>
      <c r="S21" s="133"/>
      <c r="T21" s="133"/>
      <c r="U21" s="127"/>
      <c r="V21" s="503"/>
      <c r="W21" s="503"/>
      <c r="X21" s="503"/>
      <c r="Y21" s="503"/>
      <c r="Z21" s="503"/>
    </row>
    <row r="22" spans="1:26" ht="15.75">
      <c r="A22" s="646" t="s">
        <v>10</v>
      </c>
      <c r="B22" s="646"/>
      <c r="C22" s="646"/>
      <c r="D22" s="646"/>
      <c r="E22" s="646"/>
      <c r="F22" s="646"/>
      <c r="G22" s="131">
        <v>110</v>
      </c>
      <c r="H22" s="180"/>
      <c r="I22" s="133"/>
      <c r="J22" s="133"/>
      <c r="K22" s="133"/>
      <c r="L22" s="133"/>
      <c r="M22" s="133"/>
      <c r="N22" s="133">
        <f t="shared" si="2"/>
        <v>0</v>
      </c>
      <c r="O22" s="133"/>
      <c r="P22" s="133"/>
      <c r="Q22" s="133"/>
      <c r="R22" s="133"/>
      <c r="S22" s="133"/>
      <c r="T22" s="133"/>
      <c r="U22" s="133">
        <v>0</v>
      </c>
      <c r="V22" s="503"/>
      <c r="W22" s="503"/>
      <c r="X22" s="503"/>
      <c r="Y22" s="503"/>
      <c r="Z22" s="503"/>
    </row>
    <row r="23" spans="1:26" ht="15.75">
      <c r="A23" s="646" t="s">
        <v>11</v>
      </c>
      <c r="B23" s="646"/>
      <c r="C23" s="646"/>
      <c r="D23" s="646"/>
      <c r="E23" s="646"/>
      <c r="F23" s="646"/>
      <c r="G23" s="131">
        <v>111</v>
      </c>
      <c r="H23" s="180"/>
      <c r="I23" s="133"/>
      <c r="J23" s="133"/>
      <c r="K23" s="133"/>
      <c r="L23" s="133"/>
      <c r="M23" s="133"/>
      <c r="N23" s="133">
        <f t="shared" si="2"/>
        <v>0</v>
      </c>
      <c r="O23" s="133"/>
      <c r="P23" s="133"/>
      <c r="Q23" s="133"/>
      <c r="R23" s="133"/>
      <c r="S23" s="133"/>
      <c r="T23" s="133"/>
      <c r="U23" s="133">
        <v>0</v>
      </c>
      <c r="V23" s="503"/>
      <c r="W23" s="503"/>
      <c r="X23" s="503"/>
      <c r="Y23" s="503"/>
      <c r="Z23" s="503"/>
    </row>
    <row r="24" spans="1:26" ht="15.75">
      <c r="A24" s="657" t="s">
        <v>12</v>
      </c>
      <c r="B24" s="658"/>
      <c r="C24" s="658"/>
      <c r="D24" s="658"/>
      <c r="E24" s="658"/>
      <c r="F24" s="659"/>
      <c r="G24" s="131">
        <v>112</v>
      </c>
      <c r="H24" s="180"/>
      <c r="I24" s="133"/>
      <c r="J24" s="133"/>
      <c r="K24" s="133"/>
      <c r="L24" s="133"/>
      <c r="M24" s="133"/>
      <c r="N24" s="133">
        <f t="shared" si="2"/>
        <v>0</v>
      </c>
      <c r="O24" s="133"/>
      <c r="P24" s="133"/>
      <c r="Q24" s="133"/>
      <c r="R24" s="133"/>
      <c r="S24" s="133"/>
      <c r="T24" s="133"/>
      <c r="U24" s="133">
        <v>0</v>
      </c>
      <c r="V24" s="503"/>
      <c r="W24" s="503"/>
      <c r="X24" s="503"/>
      <c r="Y24" s="503"/>
      <c r="Z24" s="503"/>
    </row>
    <row r="25" spans="1:26" ht="15.75">
      <c r="A25" s="646" t="s">
        <v>13</v>
      </c>
      <c r="B25" s="646"/>
      <c r="C25" s="646"/>
      <c r="D25" s="646"/>
      <c r="E25" s="646"/>
      <c r="F25" s="646"/>
      <c r="G25" s="131">
        <v>113</v>
      </c>
      <c r="H25" s="180"/>
      <c r="I25" s="133"/>
      <c r="J25" s="133"/>
      <c r="K25" s="133"/>
      <c r="L25" s="133"/>
      <c r="M25" s="133"/>
      <c r="N25" s="133">
        <f t="shared" si="2"/>
        <v>0</v>
      </c>
      <c r="O25" s="133"/>
      <c r="P25" s="133"/>
      <c r="Q25" s="133"/>
      <c r="R25" s="133"/>
      <c r="S25" s="133"/>
      <c r="T25" s="133"/>
      <c r="U25" s="133">
        <v>0</v>
      </c>
      <c r="V25" s="503"/>
      <c r="W25" s="503"/>
      <c r="X25" s="503"/>
      <c r="Y25" s="503"/>
      <c r="Z25" s="503"/>
    </row>
    <row r="26" spans="1:26" ht="15.75">
      <c r="A26" s="646" t="s">
        <v>22</v>
      </c>
      <c r="B26" s="646"/>
      <c r="C26" s="646"/>
      <c r="D26" s="646"/>
      <c r="E26" s="646"/>
      <c r="F26" s="646"/>
      <c r="G26" s="131">
        <v>114</v>
      </c>
      <c r="H26" s="180">
        <v>3715381</v>
      </c>
      <c r="I26" s="133"/>
      <c r="J26" s="133"/>
      <c r="K26" s="133"/>
      <c r="L26" s="133"/>
      <c r="M26" s="133"/>
      <c r="N26" s="133">
        <f t="shared" si="2"/>
        <v>3715381</v>
      </c>
      <c r="O26" s="133">
        <v>2774831</v>
      </c>
      <c r="P26" s="133"/>
      <c r="Q26" s="133"/>
      <c r="R26" s="133"/>
      <c r="S26" s="133"/>
      <c r="T26" s="133"/>
      <c r="U26" s="133">
        <v>3278538</v>
      </c>
      <c r="V26" s="503"/>
      <c r="W26" s="503"/>
      <c r="X26" s="503"/>
      <c r="Y26" s="503"/>
      <c r="Z26" s="503"/>
    </row>
    <row r="27" spans="1:26" ht="15.75">
      <c r="A27" s="656" t="s">
        <v>23</v>
      </c>
      <c r="B27" s="656"/>
      <c r="C27" s="656"/>
      <c r="D27" s="656"/>
      <c r="E27" s="656"/>
      <c r="F27" s="656"/>
      <c r="G27" s="131">
        <v>115</v>
      </c>
      <c r="H27" s="180"/>
      <c r="I27" s="133"/>
      <c r="J27" s="133"/>
      <c r="K27" s="133"/>
      <c r="L27" s="133"/>
      <c r="M27" s="133"/>
      <c r="N27" s="133">
        <f t="shared" si="2"/>
        <v>0</v>
      </c>
      <c r="O27" s="133"/>
      <c r="P27" s="133"/>
      <c r="Q27" s="133"/>
      <c r="R27" s="133"/>
      <c r="S27" s="133"/>
      <c r="T27" s="133"/>
      <c r="U27" s="133">
        <v>0</v>
      </c>
      <c r="V27" s="503"/>
      <c r="W27" s="503"/>
      <c r="X27" s="503"/>
      <c r="Y27" s="503"/>
      <c r="Z27" s="503"/>
    </row>
    <row r="28" spans="1:26" ht="15.75">
      <c r="A28" s="656" t="s">
        <v>24</v>
      </c>
      <c r="B28" s="656"/>
      <c r="C28" s="656"/>
      <c r="D28" s="656"/>
      <c r="E28" s="656"/>
      <c r="F28" s="656"/>
      <c r="G28" s="131">
        <v>116</v>
      </c>
      <c r="H28" s="180">
        <v>95084</v>
      </c>
      <c r="I28" s="133"/>
      <c r="J28" s="133"/>
      <c r="K28" s="163">
        <v>-95084</v>
      </c>
      <c r="L28" s="133"/>
      <c r="M28" s="133"/>
      <c r="N28" s="133">
        <f t="shared" si="2"/>
        <v>0</v>
      </c>
      <c r="O28" s="133">
        <v>95084</v>
      </c>
      <c r="P28" s="133"/>
      <c r="Q28" s="133"/>
      <c r="R28" s="133">
        <v>-95084</v>
      </c>
      <c r="S28" s="133"/>
      <c r="T28" s="133"/>
      <c r="U28" s="133">
        <v>0</v>
      </c>
      <c r="V28" s="503"/>
      <c r="W28" s="503"/>
      <c r="X28" s="503"/>
      <c r="Y28" s="503"/>
      <c r="Z28" s="503"/>
    </row>
    <row r="29" spans="1:26" ht="15.75">
      <c r="A29" s="656" t="s">
        <v>25</v>
      </c>
      <c r="B29" s="656"/>
      <c r="C29" s="656"/>
      <c r="D29" s="656"/>
      <c r="E29" s="656"/>
      <c r="F29" s="656"/>
      <c r="G29" s="131">
        <v>117</v>
      </c>
      <c r="H29" s="180">
        <v>150509</v>
      </c>
      <c r="I29" s="133"/>
      <c r="J29" s="133"/>
      <c r="K29" s="133"/>
      <c r="L29" s="133"/>
      <c r="M29" s="133"/>
      <c r="N29" s="133">
        <f t="shared" si="2"/>
        <v>150509</v>
      </c>
      <c r="O29" s="133"/>
      <c r="P29" s="133"/>
      <c r="Q29" s="133"/>
      <c r="R29" s="133"/>
      <c r="S29" s="133"/>
      <c r="T29" s="133"/>
      <c r="U29" s="133">
        <v>61080</v>
      </c>
      <c r="V29" s="503"/>
      <c r="W29" s="503"/>
      <c r="X29" s="503"/>
      <c r="Y29" s="503"/>
      <c r="Z29" s="503"/>
    </row>
    <row r="30" spans="1:26" ht="15.75">
      <c r="A30" s="656" t="s">
        <v>26</v>
      </c>
      <c r="B30" s="656"/>
      <c r="C30" s="656"/>
      <c r="D30" s="656"/>
      <c r="E30" s="656"/>
      <c r="F30" s="656"/>
      <c r="G30" s="131">
        <v>118</v>
      </c>
      <c r="H30" s="180">
        <v>1500941</v>
      </c>
      <c r="I30" s="133">
        <v>227299</v>
      </c>
      <c r="J30" s="133"/>
      <c r="K30" s="133"/>
      <c r="L30" s="133"/>
      <c r="M30" s="133"/>
      <c r="N30" s="133">
        <f t="shared" si="2"/>
        <v>1728240</v>
      </c>
      <c r="O30" s="133">
        <v>1744712</v>
      </c>
      <c r="P30" s="133">
        <v>229714</v>
      </c>
      <c r="Q30" s="133">
        <v>79</v>
      </c>
      <c r="R30" s="133">
        <v>0</v>
      </c>
      <c r="S30" s="133"/>
      <c r="T30" s="133"/>
      <c r="U30" s="133">
        <v>1877708</v>
      </c>
      <c r="V30" s="503"/>
      <c r="W30" s="503"/>
      <c r="X30" s="503"/>
      <c r="Y30" s="503"/>
      <c r="Z30" s="503"/>
    </row>
    <row r="31" spans="1:26" ht="15.75">
      <c r="A31" s="656" t="s">
        <v>27</v>
      </c>
      <c r="B31" s="656"/>
      <c r="C31" s="656"/>
      <c r="D31" s="656"/>
      <c r="E31" s="656"/>
      <c r="F31" s="656"/>
      <c r="G31" s="131">
        <v>119</v>
      </c>
      <c r="H31" s="180"/>
      <c r="I31" s="133"/>
      <c r="J31" s="133"/>
      <c r="K31" s="133"/>
      <c r="L31" s="133"/>
      <c r="M31" s="133"/>
      <c r="N31" s="133">
        <f t="shared" si="2"/>
        <v>0</v>
      </c>
      <c r="O31" s="133"/>
      <c r="P31" s="133"/>
      <c r="Q31" s="133"/>
      <c r="R31" s="133"/>
      <c r="S31" s="133"/>
      <c r="T31" s="133"/>
      <c r="U31" s="133">
        <v>0</v>
      </c>
      <c r="V31" s="503"/>
      <c r="W31" s="503"/>
      <c r="X31" s="503"/>
      <c r="Y31" s="503"/>
      <c r="Z31" s="503"/>
    </row>
    <row r="32" spans="1:26" ht="15.75">
      <c r="A32" s="656" t="s">
        <v>28</v>
      </c>
      <c r="B32" s="656"/>
      <c r="C32" s="656"/>
      <c r="D32" s="656"/>
      <c r="E32" s="656"/>
      <c r="F32" s="656"/>
      <c r="G32" s="131">
        <v>120</v>
      </c>
      <c r="H32" s="180"/>
      <c r="I32" s="133"/>
      <c r="J32" s="133"/>
      <c r="K32" s="133"/>
      <c r="L32" s="133"/>
      <c r="M32" s="133"/>
      <c r="N32" s="133">
        <f t="shared" si="2"/>
        <v>0</v>
      </c>
      <c r="O32" s="133"/>
      <c r="P32" s="133"/>
      <c r="Q32" s="133"/>
      <c r="R32" s="133"/>
      <c r="S32" s="133"/>
      <c r="T32" s="133"/>
      <c r="U32" s="133">
        <v>0</v>
      </c>
      <c r="V32" s="503"/>
      <c r="W32" s="503"/>
      <c r="X32" s="503"/>
      <c r="Y32" s="503"/>
      <c r="Z32" s="503"/>
    </row>
    <row r="33" spans="1:26" ht="15.75">
      <c r="A33" s="663" t="s">
        <v>29</v>
      </c>
      <c r="B33" s="663"/>
      <c r="C33" s="663"/>
      <c r="D33" s="663"/>
      <c r="E33" s="663"/>
      <c r="F33" s="663"/>
      <c r="G33" s="131">
        <v>121</v>
      </c>
      <c r="H33" s="180">
        <v>18963</v>
      </c>
      <c r="I33" s="133">
        <v>2798</v>
      </c>
      <c r="J33" s="133"/>
      <c r="K33" s="133"/>
      <c r="L33" s="133"/>
      <c r="M33" s="133"/>
      <c r="N33" s="133">
        <f t="shared" si="2"/>
        <v>21761</v>
      </c>
      <c r="O33" s="133">
        <v>2584</v>
      </c>
      <c r="P33" s="133">
        <v>1516</v>
      </c>
      <c r="Q33" s="133">
        <v>42</v>
      </c>
      <c r="R33" s="133">
        <v>0</v>
      </c>
      <c r="S33" s="133"/>
      <c r="T33" s="133"/>
      <c r="U33" s="133">
        <v>25559</v>
      </c>
      <c r="V33" s="503"/>
      <c r="W33" s="503"/>
      <c r="X33" s="503"/>
      <c r="Y33" s="503"/>
      <c r="Z33" s="503"/>
    </row>
    <row r="34" spans="1:26" ht="15.75">
      <c r="A34" s="663" t="s">
        <v>430</v>
      </c>
      <c r="B34" s="663"/>
      <c r="C34" s="663"/>
      <c r="D34" s="663"/>
      <c r="E34" s="663"/>
      <c r="F34" s="663"/>
      <c r="G34" s="131">
        <v>122</v>
      </c>
      <c r="H34" s="180"/>
      <c r="I34" s="133">
        <v>213</v>
      </c>
      <c r="J34" s="133"/>
      <c r="K34" s="133"/>
      <c r="L34" s="133"/>
      <c r="M34" s="133"/>
      <c r="N34" s="133">
        <f t="shared" si="2"/>
        <v>213</v>
      </c>
      <c r="O34" s="133"/>
      <c r="P34" s="133">
        <v>21124</v>
      </c>
      <c r="Q34" s="133"/>
      <c r="R34" s="133"/>
      <c r="S34" s="133"/>
      <c r="T34" s="133"/>
      <c r="U34" s="133">
        <v>5857</v>
      </c>
      <c r="V34" s="503"/>
      <c r="W34" s="503"/>
      <c r="X34" s="503"/>
      <c r="Y34" s="503"/>
      <c r="Z34" s="503"/>
    </row>
    <row r="35" spans="1:26" ht="15.75">
      <c r="A35" s="656" t="s">
        <v>30</v>
      </c>
      <c r="B35" s="656"/>
      <c r="C35" s="656"/>
      <c r="D35" s="656"/>
      <c r="E35" s="656"/>
      <c r="F35" s="656"/>
      <c r="G35" s="131">
        <v>123</v>
      </c>
      <c r="H35" s="180">
        <v>97421</v>
      </c>
      <c r="I35" s="133"/>
      <c r="J35" s="133"/>
      <c r="K35" s="133"/>
      <c r="L35" s="133"/>
      <c r="M35" s="133"/>
      <c r="N35" s="133">
        <f t="shared" si="2"/>
        <v>97421</v>
      </c>
      <c r="O35" s="133">
        <v>113357</v>
      </c>
      <c r="P35" s="133"/>
      <c r="Q35" s="133"/>
      <c r="R35" s="133"/>
      <c r="S35" s="133"/>
      <c r="T35" s="133"/>
      <c r="U35" s="133">
        <v>32118</v>
      </c>
      <c r="V35" s="503"/>
      <c r="W35" s="503"/>
      <c r="X35" s="503"/>
      <c r="Y35" s="503"/>
      <c r="Z35" s="503"/>
    </row>
    <row r="36" spans="1:26" ht="15.75">
      <c r="A36" s="664" t="s">
        <v>31</v>
      </c>
      <c r="B36" s="664"/>
      <c r="C36" s="664"/>
      <c r="D36" s="664"/>
      <c r="E36" s="664"/>
      <c r="F36" s="664"/>
      <c r="G36" s="142">
        <v>200</v>
      </c>
      <c r="H36" s="182">
        <f>SUM(H26:H35)</f>
        <v>5578299</v>
      </c>
      <c r="I36" s="182">
        <f>SUM(I26:I35)</f>
        <v>230310</v>
      </c>
      <c r="J36" s="182"/>
      <c r="K36" s="163">
        <f>SUM(K26:K35)</f>
        <v>-95084</v>
      </c>
      <c r="L36" s="182">
        <f>SUM(L26:L35)</f>
        <v>0</v>
      </c>
      <c r="M36" s="182"/>
      <c r="N36" s="144">
        <f t="shared" si="2"/>
        <v>5713525</v>
      </c>
      <c r="O36" s="144">
        <f aca="true" t="shared" si="3" ref="O36:U36">SUM(O22:O35)</f>
        <v>4730568</v>
      </c>
      <c r="P36" s="144">
        <f t="shared" si="3"/>
        <v>252354</v>
      </c>
      <c r="Q36" s="144">
        <f t="shared" si="3"/>
        <v>121</v>
      </c>
      <c r="R36" s="144">
        <f t="shared" si="3"/>
        <v>-95084</v>
      </c>
      <c r="S36" s="144">
        <f t="shared" si="3"/>
        <v>0</v>
      </c>
      <c r="T36" s="144">
        <f t="shared" si="3"/>
        <v>0</v>
      </c>
      <c r="U36" s="144">
        <f t="shared" si="3"/>
        <v>5280860</v>
      </c>
      <c r="V36" s="503"/>
      <c r="W36" s="503"/>
      <c r="X36" s="503"/>
      <c r="Y36" s="503"/>
      <c r="Z36" s="503"/>
    </row>
    <row r="37" spans="1:26" ht="15.75">
      <c r="A37" s="665" t="s">
        <v>32</v>
      </c>
      <c r="B37" s="665"/>
      <c r="C37" s="665"/>
      <c r="D37" s="665"/>
      <c r="E37" s="665"/>
      <c r="F37" s="665"/>
      <c r="G37" s="492"/>
      <c r="H37" s="477">
        <f>H19+H36</f>
        <v>6310544</v>
      </c>
      <c r="I37" s="477">
        <f>I19+I36</f>
        <v>1080808</v>
      </c>
      <c r="J37" s="477"/>
      <c r="K37" s="529">
        <f>K19+K36</f>
        <v>-363687</v>
      </c>
      <c r="L37" s="477">
        <f>L19+L36</f>
        <v>0</v>
      </c>
      <c r="M37" s="477"/>
      <c r="N37" s="477">
        <f>N19+N36</f>
        <v>7027665</v>
      </c>
      <c r="O37" s="481">
        <f aca="true" t="shared" si="4" ref="O37:U37">O36+O19</f>
        <v>5708311</v>
      </c>
      <c r="P37" s="481">
        <f t="shared" si="4"/>
        <v>999042</v>
      </c>
      <c r="Q37" s="481">
        <f t="shared" si="4"/>
        <v>24491</v>
      </c>
      <c r="R37" s="481">
        <f t="shared" si="4"/>
        <v>-505072</v>
      </c>
      <c r="S37" s="481">
        <f t="shared" si="4"/>
        <v>0</v>
      </c>
      <c r="T37" s="481">
        <f t="shared" si="4"/>
        <v>-20285</v>
      </c>
      <c r="U37" s="481">
        <f t="shared" si="4"/>
        <v>6744525</v>
      </c>
      <c r="V37" s="503"/>
      <c r="W37" s="503"/>
      <c r="X37" s="503"/>
      <c r="Y37" s="503"/>
      <c r="Z37" s="503"/>
    </row>
    <row r="38" spans="1:26" ht="15.75">
      <c r="A38" s="650" t="s">
        <v>33</v>
      </c>
      <c r="B38" s="651"/>
      <c r="C38" s="651"/>
      <c r="D38" s="651"/>
      <c r="E38" s="651"/>
      <c r="F38" s="652"/>
      <c r="G38" s="528"/>
      <c r="H38" s="529"/>
      <c r="I38" s="529"/>
      <c r="J38" s="529"/>
      <c r="K38" s="529"/>
      <c r="L38" s="529"/>
      <c r="M38" s="529"/>
      <c r="N38" s="496">
        <f aca="true" t="shared" si="5" ref="N38:N59">SUM(H38:M38)</f>
        <v>0</v>
      </c>
      <c r="O38" s="496"/>
      <c r="P38" s="496"/>
      <c r="Q38" s="496"/>
      <c r="R38" s="496"/>
      <c r="S38" s="496"/>
      <c r="T38" s="496"/>
      <c r="U38" s="488"/>
      <c r="V38" s="503"/>
      <c r="W38" s="503"/>
      <c r="X38" s="503"/>
      <c r="Y38" s="503"/>
      <c r="Z38" s="503"/>
    </row>
    <row r="39" spans="1:26" ht="15.75">
      <c r="A39" s="653" t="s">
        <v>34</v>
      </c>
      <c r="B39" s="654"/>
      <c r="C39" s="654"/>
      <c r="D39" s="654"/>
      <c r="E39" s="654"/>
      <c r="F39" s="655"/>
      <c r="G39" s="131"/>
      <c r="H39" s="541"/>
      <c r="I39" s="127"/>
      <c r="J39" s="127"/>
      <c r="K39" s="127"/>
      <c r="L39" s="127"/>
      <c r="M39" s="127"/>
      <c r="N39" s="133">
        <f t="shared" si="5"/>
        <v>0</v>
      </c>
      <c r="O39" s="133"/>
      <c r="P39" s="133"/>
      <c r="Q39" s="133"/>
      <c r="R39" s="133"/>
      <c r="S39" s="133"/>
      <c r="T39" s="133"/>
      <c r="U39" s="127"/>
      <c r="V39" s="503"/>
      <c r="W39" s="503"/>
      <c r="X39" s="503"/>
      <c r="Y39" s="503"/>
      <c r="Z39" s="503"/>
    </row>
    <row r="40" spans="1:26" ht="15.75">
      <c r="A40" s="666" t="s">
        <v>35</v>
      </c>
      <c r="B40" s="666"/>
      <c r="C40" s="666"/>
      <c r="D40" s="666"/>
      <c r="E40" s="666"/>
      <c r="F40" s="666"/>
      <c r="G40" s="131">
        <v>210</v>
      </c>
      <c r="H40" s="180">
        <v>220000</v>
      </c>
      <c r="I40" s="133">
        <v>153657</v>
      </c>
      <c r="J40" s="133"/>
      <c r="K40" s="133"/>
      <c r="L40" s="133"/>
      <c r="M40" s="133"/>
      <c r="N40" s="133">
        <f t="shared" si="5"/>
        <v>373657</v>
      </c>
      <c r="O40" s="133">
        <v>220000</v>
      </c>
      <c r="P40" s="133">
        <v>290282</v>
      </c>
      <c r="Q40" s="133"/>
      <c r="R40" s="133"/>
      <c r="S40" s="133"/>
      <c r="T40" s="133"/>
      <c r="U40" s="133">
        <v>344170</v>
      </c>
      <c r="V40" s="503"/>
      <c r="W40" s="503"/>
      <c r="X40" s="503"/>
      <c r="Y40" s="503"/>
      <c r="Z40" s="503"/>
    </row>
    <row r="41" spans="1:26" ht="15.75">
      <c r="A41" s="667" t="s">
        <v>11</v>
      </c>
      <c r="B41" s="667"/>
      <c r="C41" s="667"/>
      <c r="D41" s="667"/>
      <c r="E41" s="667"/>
      <c r="F41" s="667"/>
      <c r="G41" s="131">
        <v>211</v>
      </c>
      <c r="H41" s="180"/>
      <c r="I41" s="133"/>
      <c r="J41" s="133"/>
      <c r="K41" s="133"/>
      <c r="L41" s="133"/>
      <c r="M41" s="133"/>
      <c r="N41" s="133">
        <f t="shared" si="5"/>
        <v>0</v>
      </c>
      <c r="O41" s="133"/>
      <c r="P41" s="133"/>
      <c r="Q41" s="133"/>
      <c r="R41" s="133"/>
      <c r="S41" s="133"/>
      <c r="T41" s="133"/>
      <c r="U41" s="133">
        <v>0</v>
      </c>
      <c r="V41" s="503"/>
      <c r="W41" s="503"/>
      <c r="X41" s="503"/>
      <c r="Y41" s="503"/>
      <c r="Z41" s="503"/>
    </row>
    <row r="42" spans="1:26" ht="15.75">
      <c r="A42" s="666" t="s">
        <v>36</v>
      </c>
      <c r="B42" s="666"/>
      <c r="C42" s="666"/>
      <c r="D42" s="666"/>
      <c r="E42" s="666"/>
      <c r="F42" s="666"/>
      <c r="G42" s="131">
        <v>212</v>
      </c>
      <c r="H42" s="180">
        <v>61167</v>
      </c>
      <c r="I42" s="133"/>
      <c r="J42" s="133"/>
      <c r="K42" s="133"/>
      <c r="L42" s="133"/>
      <c r="M42" s="133"/>
      <c r="N42" s="133">
        <f t="shared" si="5"/>
        <v>61167</v>
      </c>
      <c r="O42" s="133">
        <v>61167</v>
      </c>
      <c r="P42" s="133"/>
      <c r="Q42" s="133"/>
      <c r="R42" s="133"/>
      <c r="S42" s="133"/>
      <c r="T42" s="133"/>
      <c r="U42" s="133">
        <v>61167</v>
      </c>
      <c r="V42" s="503"/>
      <c r="W42" s="503"/>
      <c r="X42" s="503"/>
      <c r="Y42" s="503"/>
      <c r="Z42" s="503"/>
    </row>
    <row r="43" spans="1:26" ht="15.75">
      <c r="A43" s="656" t="s">
        <v>38</v>
      </c>
      <c r="B43" s="656"/>
      <c r="C43" s="656"/>
      <c r="D43" s="656"/>
      <c r="E43" s="656"/>
      <c r="F43" s="656"/>
      <c r="G43" s="131">
        <v>213</v>
      </c>
      <c r="H43" s="180">
        <f>325840-24000-36651</f>
        <v>265189</v>
      </c>
      <c r="I43" s="133">
        <v>984435</v>
      </c>
      <c r="J43" s="133"/>
      <c r="K43" s="133"/>
      <c r="L43" s="163">
        <f>K14</f>
        <v>-268603</v>
      </c>
      <c r="M43" s="163"/>
      <c r="N43" s="133">
        <f t="shared" si="5"/>
        <v>981021</v>
      </c>
      <c r="O43" s="133">
        <f>304625+123+81</f>
        <v>304829</v>
      </c>
      <c r="P43" s="133">
        <v>764647</v>
      </c>
      <c r="Q43" s="133">
        <v>4992</v>
      </c>
      <c r="R43" s="133"/>
      <c r="S43" s="133">
        <v>-409988</v>
      </c>
      <c r="T43" s="133">
        <v>-665</v>
      </c>
      <c r="U43" s="133">
        <v>879060</v>
      </c>
      <c r="V43" s="503"/>
      <c r="W43" s="503"/>
      <c r="X43" s="503"/>
      <c r="Y43" s="503"/>
      <c r="Z43" s="503"/>
    </row>
    <row r="44" spans="1:26" ht="15.75">
      <c r="A44" s="643" t="s">
        <v>662</v>
      </c>
      <c r="B44" s="644"/>
      <c r="C44" s="644"/>
      <c r="D44" s="644"/>
      <c r="E44" s="644"/>
      <c r="F44" s="645"/>
      <c r="G44" s="131">
        <v>214</v>
      </c>
      <c r="H44" s="180">
        <v>24000</v>
      </c>
      <c r="I44" s="133">
        <v>11231</v>
      </c>
      <c r="J44" s="133"/>
      <c r="K44" s="133"/>
      <c r="L44" s="133"/>
      <c r="M44" s="133"/>
      <c r="N44" s="133">
        <f t="shared" si="5"/>
        <v>35231</v>
      </c>
      <c r="O44" s="133">
        <v>89</v>
      </c>
      <c r="P44" s="133">
        <v>22235</v>
      </c>
      <c r="Q44" s="133">
        <v>19620</v>
      </c>
      <c r="R44" s="133"/>
      <c r="S44" s="133"/>
      <c r="T44" s="133">
        <f>-19362-258</f>
        <v>-19620</v>
      </c>
      <c r="U44" s="133">
        <v>28861</v>
      </c>
      <c r="V44" s="503"/>
      <c r="W44" s="503"/>
      <c r="X44" s="503"/>
      <c r="Y44" s="503"/>
      <c r="Z44" s="503"/>
    </row>
    <row r="45" spans="1:26" ht="15.75">
      <c r="A45" s="666" t="s">
        <v>39</v>
      </c>
      <c r="B45" s="666"/>
      <c r="C45" s="666"/>
      <c r="D45" s="666"/>
      <c r="E45" s="666"/>
      <c r="F45" s="666"/>
      <c r="G45" s="131">
        <v>215</v>
      </c>
      <c r="H45" s="180">
        <v>40610</v>
      </c>
      <c r="I45" s="133"/>
      <c r="J45" s="133"/>
      <c r="K45" s="133"/>
      <c r="L45" s="133"/>
      <c r="M45" s="133"/>
      <c r="N45" s="133">
        <f t="shared" si="5"/>
        <v>40610</v>
      </c>
      <c r="O45" s="133">
        <v>65008</v>
      </c>
      <c r="P45" s="133">
        <v>0</v>
      </c>
      <c r="Q45" s="133"/>
      <c r="R45" s="133"/>
      <c r="S45" s="133"/>
      <c r="T45" s="133"/>
      <c r="U45" s="133">
        <v>64981</v>
      </c>
      <c r="V45" s="503"/>
      <c r="W45" s="503"/>
      <c r="X45" s="503"/>
      <c r="Y45" s="503"/>
      <c r="Z45" s="503"/>
    </row>
    <row r="46" spans="1:26" ht="15.75">
      <c r="A46" s="666" t="s">
        <v>40</v>
      </c>
      <c r="B46" s="666"/>
      <c r="C46" s="666"/>
      <c r="D46" s="666"/>
      <c r="E46" s="666"/>
      <c r="F46" s="666"/>
      <c r="G46" s="131">
        <v>216</v>
      </c>
      <c r="H46" s="180">
        <v>0</v>
      </c>
      <c r="I46" s="133"/>
      <c r="J46" s="133"/>
      <c r="K46" s="133"/>
      <c r="L46" s="133"/>
      <c r="M46" s="133"/>
      <c r="N46" s="133">
        <f t="shared" si="5"/>
        <v>0</v>
      </c>
      <c r="O46" s="133">
        <v>10793</v>
      </c>
      <c r="P46" s="133">
        <v>0</v>
      </c>
      <c r="Q46" s="133">
        <v>3</v>
      </c>
      <c r="R46" s="133"/>
      <c r="S46" s="133"/>
      <c r="T46" s="133"/>
      <c r="U46" s="133">
        <v>0</v>
      </c>
      <c r="V46" s="503"/>
      <c r="W46" s="503"/>
      <c r="X46" s="503"/>
      <c r="Y46" s="503"/>
      <c r="Z46" s="503"/>
    </row>
    <row r="47" spans="1:26" ht="15.75">
      <c r="A47" s="666" t="s">
        <v>41</v>
      </c>
      <c r="B47" s="666"/>
      <c r="C47" s="666"/>
      <c r="D47" s="666"/>
      <c r="E47" s="666"/>
      <c r="F47" s="666"/>
      <c r="G47" s="131">
        <v>217</v>
      </c>
      <c r="H47" s="180">
        <v>34024</v>
      </c>
      <c r="I47" s="133">
        <v>21629</v>
      </c>
      <c r="J47" s="133"/>
      <c r="K47" s="133"/>
      <c r="L47" s="133"/>
      <c r="M47" s="133"/>
      <c r="N47" s="133">
        <f t="shared" si="5"/>
        <v>55653</v>
      </c>
      <c r="O47" s="133">
        <v>36000</v>
      </c>
      <c r="P47" s="133">
        <v>21156</v>
      </c>
      <c r="Q47" s="133"/>
      <c r="R47" s="133"/>
      <c r="S47" s="133"/>
      <c r="T47" s="133"/>
      <c r="U47" s="133">
        <v>47373</v>
      </c>
      <c r="V47" s="503"/>
      <c r="W47" s="503"/>
      <c r="X47" s="503"/>
      <c r="Y47" s="503"/>
      <c r="Z47" s="503"/>
    </row>
    <row r="48" spans="1:26" ht="15.75">
      <c r="A48" s="666" t="s">
        <v>42</v>
      </c>
      <c r="B48" s="666"/>
      <c r="C48" s="666"/>
      <c r="D48" s="666"/>
      <c r="E48" s="666"/>
      <c r="F48" s="666"/>
      <c r="G48" s="131">
        <v>218</v>
      </c>
      <c r="H48" s="180">
        <f>23390</f>
        <v>23390</v>
      </c>
      <c r="I48" s="133">
        <f>8822+6028+42651</f>
        <v>57501</v>
      </c>
      <c r="J48" s="133"/>
      <c r="K48" s="133"/>
      <c r="L48" s="133"/>
      <c r="M48" s="133"/>
      <c r="N48" s="133">
        <f t="shared" si="5"/>
        <v>80891</v>
      </c>
      <c r="O48" s="133">
        <f>6393+10437+4659+20+1108+3223+7790+2</f>
        <v>33632</v>
      </c>
      <c r="P48" s="133">
        <f>23957+6355+41722+24843-P47</f>
        <v>75721</v>
      </c>
      <c r="Q48" s="133">
        <f>720+223</f>
        <v>943</v>
      </c>
      <c r="R48" s="133"/>
      <c r="S48" s="133"/>
      <c r="T48" s="133"/>
      <c r="U48" s="133">
        <f>15046+63866</f>
        <v>78912</v>
      </c>
      <c r="V48" s="503"/>
      <c r="W48" s="503"/>
      <c r="X48" s="503"/>
      <c r="Y48" s="503"/>
      <c r="Z48" s="503"/>
    </row>
    <row r="49" spans="1:26" ht="15.75">
      <c r="A49" s="653" t="s">
        <v>43</v>
      </c>
      <c r="B49" s="654"/>
      <c r="C49" s="654"/>
      <c r="D49" s="654"/>
      <c r="E49" s="654"/>
      <c r="F49" s="655"/>
      <c r="G49" s="142" t="s">
        <v>44</v>
      </c>
      <c r="H49" s="542">
        <f>SUM(H40:H48)</f>
        <v>668380</v>
      </c>
      <c r="I49" s="542">
        <f>SUM(I40:I48)</f>
        <v>1228453</v>
      </c>
      <c r="J49" s="542"/>
      <c r="K49" s="542">
        <f>SUM(K40:K48)</f>
        <v>0</v>
      </c>
      <c r="L49" s="163">
        <f>SUM(L40:L48)</f>
        <v>-268603</v>
      </c>
      <c r="M49" s="163"/>
      <c r="N49" s="144">
        <f t="shared" si="5"/>
        <v>1628230</v>
      </c>
      <c r="O49" s="144">
        <f aca="true" t="shared" si="6" ref="O49:U49">SUM(O40:O48)</f>
        <v>731518</v>
      </c>
      <c r="P49" s="144">
        <f t="shared" si="6"/>
        <v>1174041</v>
      </c>
      <c r="Q49" s="144">
        <f t="shared" si="6"/>
        <v>25558</v>
      </c>
      <c r="R49" s="144">
        <f t="shared" si="6"/>
        <v>0</v>
      </c>
      <c r="S49" s="144">
        <f t="shared" si="6"/>
        <v>-409988</v>
      </c>
      <c r="T49" s="144">
        <f t="shared" si="6"/>
        <v>-20285</v>
      </c>
      <c r="U49" s="150">
        <f t="shared" si="6"/>
        <v>1504524</v>
      </c>
      <c r="V49" s="551"/>
      <c r="W49" s="503"/>
      <c r="X49" s="503"/>
      <c r="Y49" s="503"/>
      <c r="Z49" s="503"/>
    </row>
    <row r="50" spans="1:26" ht="30" customHeight="1">
      <c r="A50" s="668" t="s">
        <v>45</v>
      </c>
      <c r="B50" s="669"/>
      <c r="C50" s="669"/>
      <c r="D50" s="669"/>
      <c r="E50" s="669"/>
      <c r="F50" s="670"/>
      <c r="G50" s="142"/>
      <c r="H50" s="542"/>
      <c r="I50" s="150"/>
      <c r="J50" s="150"/>
      <c r="K50" s="150"/>
      <c r="L50" s="150"/>
      <c r="M50" s="150"/>
      <c r="N50" s="133">
        <f t="shared" si="5"/>
        <v>0</v>
      </c>
      <c r="O50" s="133"/>
      <c r="P50" s="133"/>
      <c r="Q50" s="133"/>
      <c r="R50" s="133"/>
      <c r="S50" s="133"/>
      <c r="T50" s="133"/>
      <c r="U50" s="150"/>
      <c r="V50" s="503"/>
      <c r="W50" s="503"/>
      <c r="X50" s="503"/>
      <c r="Y50" s="503"/>
      <c r="Z50" s="503"/>
    </row>
    <row r="51" spans="1:26" ht="15.75">
      <c r="A51" s="653" t="s">
        <v>46</v>
      </c>
      <c r="B51" s="654"/>
      <c r="C51" s="654"/>
      <c r="D51" s="654"/>
      <c r="E51" s="654"/>
      <c r="F51" s="655"/>
      <c r="G51" s="154"/>
      <c r="H51" s="553"/>
      <c r="I51" s="156"/>
      <c r="J51" s="156"/>
      <c r="K51" s="156"/>
      <c r="L51" s="156"/>
      <c r="M51" s="156"/>
      <c r="N51" s="133">
        <f t="shared" si="5"/>
        <v>0</v>
      </c>
      <c r="O51" s="133"/>
      <c r="P51" s="133"/>
      <c r="Q51" s="133"/>
      <c r="R51" s="133"/>
      <c r="S51" s="133"/>
      <c r="T51" s="133"/>
      <c r="U51" s="156">
        <v>0</v>
      </c>
      <c r="V51" s="503"/>
      <c r="W51" s="503"/>
      <c r="X51" s="503"/>
      <c r="Y51" s="503"/>
      <c r="Z51" s="503"/>
    </row>
    <row r="52" spans="1:26" ht="15.75">
      <c r="A52" s="666" t="s">
        <v>35</v>
      </c>
      <c r="B52" s="666"/>
      <c r="C52" s="666"/>
      <c r="D52" s="666"/>
      <c r="E52" s="666"/>
      <c r="F52" s="666"/>
      <c r="G52" s="131">
        <v>310</v>
      </c>
      <c r="H52" s="180"/>
      <c r="I52" s="133"/>
      <c r="J52" s="133"/>
      <c r="K52" s="133">
        <v>0</v>
      </c>
      <c r="L52" s="133"/>
      <c r="M52" s="133"/>
      <c r="N52" s="133">
        <f t="shared" si="5"/>
        <v>0</v>
      </c>
      <c r="O52" s="133"/>
      <c r="P52" s="133"/>
      <c r="Q52" s="133"/>
      <c r="R52" s="133"/>
      <c r="S52" s="133"/>
      <c r="T52" s="133"/>
      <c r="U52" s="133">
        <v>0</v>
      </c>
      <c r="V52" s="503"/>
      <c r="W52" s="503"/>
      <c r="X52" s="503"/>
      <c r="Y52" s="503"/>
      <c r="Z52" s="503"/>
    </row>
    <row r="53" spans="1:26" ht="15.75">
      <c r="A53" s="646" t="s">
        <v>11</v>
      </c>
      <c r="B53" s="646"/>
      <c r="C53" s="646"/>
      <c r="D53" s="646"/>
      <c r="E53" s="646"/>
      <c r="F53" s="646"/>
      <c r="G53" s="131">
        <v>311</v>
      </c>
      <c r="H53" s="180"/>
      <c r="I53" s="133"/>
      <c r="J53" s="133"/>
      <c r="K53" s="133"/>
      <c r="L53" s="133"/>
      <c r="M53" s="133"/>
      <c r="N53" s="133">
        <f t="shared" si="5"/>
        <v>0</v>
      </c>
      <c r="O53" s="133"/>
      <c r="P53" s="133"/>
      <c r="Q53" s="133"/>
      <c r="R53" s="133"/>
      <c r="S53" s="133"/>
      <c r="T53" s="133"/>
      <c r="U53" s="133">
        <v>0</v>
      </c>
      <c r="V53" s="503"/>
      <c r="W53" s="503"/>
      <c r="X53" s="503"/>
      <c r="Y53" s="503"/>
      <c r="Z53" s="503"/>
    </row>
    <row r="54" spans="1:26" ht="15.75">
      <c r="A54" s="671" t="s">
        <v>47</v>
      </c>
      <c r="B54" s="671"/>
      <c r="C54" s="671"/>
      <c r="D54" s="671"/>
      <c r="E54" s="671"/>
      <c r="F54" s="671"/>
      <c r="G54" s="131">
        <v>312</v>
      </c>
      <c r="H54" s="180">
        <v>1446767</v>
      </c>
      <c r="I54" s="133"/>
      <c r="J54" s="133"/>
      <c r="K54" s="133"/>
      <c r="L54" s="133"/>
      <c r="M54" s="133"/>
      <c r="N54" s="133">
        <f t="shared" si="5"/>
        <v>1446767</v>
      </c>
      <c r="O54" s="133">
        <v>1436107</v>
      </c>
      <c r="P54" s="133"/>
      <c r="Q54" s="133"/>
      <c r="R54" s="133"/>
      <c r="S54" s="133"/>
      <c r="T54" s="133"/>
      <c r="U54" s="133">
        <v>1444262</v>
      </c>
      <c r="V54" s="503"/>
      <c r="W54" s="503"/>
      <c r="X54" s="503"/>
      <c r="Y54" s="503"/>
      <c r="Z54" s="503"/>
    </row>
    <row r="55" spans="1:26" ht="15.75">
      <c r="A55" s="656" t="s">
        <v>48</v>
      </c>
      <c r="B55" s="656"/>
      <c r="C55" s="656"/>
      <c r="D55" s="656"/>
      <c r="E55" s="656"/>
      <c r="F55" s="656"/>
      <c r="G55" s="131">
        <v>313</v>
      </c>
      <c r="H55" s="180"/>
      <c r="I55" s="133"/>
      <c r="J55" s="133"/>
      <c r="K55" s="133"/>
      <c r="L55" s="133"/>
      <c r="M55" s="133"/>
      <c r="N55" s="133">
        <f t="shared" si="5"/>
        <v>0</v>
      </c>
      <c r="O55" s="133"/>
      <c r="P55" s="133"/>
      <c r="Q55" s="133"/>
      <c r="R55" s="133"/>
      <c r="S55" s="133"/>
      <c r="T55" s="133"/>
      <c r="U55" s="133">
        <v>0</v>
      </c>
      <c r="V55" s="503"/>
      <c r="W55" s="503"/>
      <c r="X55" s="503"/>
      <c r="Y55" s="503"/>
      <c r="Z55" s="503"/>
    </row>
    <row r="56" spans="1:26" ht="15.75">
      <c r="A56" s="666" t="s">
        <v>49</v>
      </c>
      <c r="B56" s="666"/>
      <c r="C56" s="666"/>
      <c r="D56" s="666"/>
      <c r="E56" s="666"/>
      <c r="F56" s="666"/>
      <c r="G56" s="131">
        <v>314</v>
      </c>
      <c r="H56" s="180"/>
      <c r="I56" s="133"/>
      <c r="J56" s="133"/>
      <c r="K56" s="133"/>
      <c r="L56" s="133"/>
      <c r="M56" s="133"/>
      <c r="N56" s="133">
        <f t="shared" si="5"/>
        <v>0</v>
      </c>
      <c r="O56" s="133"/>
      <c r="P56" s="133"/>
      <c r="Q56" s="133"/>
      <c r="R56" s="133"/>
      <c r="S56" s="133"/>
      <c r="T56" s="133"/>
      <c r="U56" s="133">
        <v>0</v>
      </c>
      <c r="V56" s="503"/>
      <c r="W56" s="503"/>
      <c r="X56" s="503"/>
      <c r="Y56" s="503"/>
      <c r="Z56" s="503"/>
    </row>
    <row r="57" spans="1:26" ht="15.75">
      <c r="A57" s="666" t="s">
        <v>50</v>
      </c>
      <c r="B57" s="666"/>
      <c r="C57" s="666"/>
      <c r="D57" s="666"/>
      <c r="E57" s="666"/>
      <c r="F57" s="666"/>
      <c r="G57" s="131">
        <v>315</v>
      </c>
      <c r="H57" s="180">
        <v>226575</v>
      </c>
      <c r="I57" s="133"/>
      <c r="J57" s="133"/>
      <c r="K57" s="133"/>
      <c r="L57" s="133"/>
      <c r="M57" s="133"/>
      <c r="N57" s="133">
        <f t="shared" si="5"/>
        <v>226575</v>
      </c>
      <c r="O57" s="133">
        <v>229654</v>
      </c>
      <c r="P57" s="133"/>
      <c r="Q57" s="133"/>
      <c r="R57" s="133"/>
      <c r="S57" s="133"/>
      <c r="T57" s="133"/>
      <c r="U57" s="133">
        <v>226575</v>
      </c>
      <c r="V57" s="503"/>
      <c r="W57" s="503"/>
      <c r="X57" s="503"/>
      <c r="Y57" s="503"/>
      <c r="Z57" s="503"/>
    </row>
    <row r="58" spans="1:26" ht="15.75">
      <c r="A58" s="666" t="s">
        <v>51</v>
      </c>
      <c r="B58" s="666"/>
      <c r="C58" s="666"/>
      <c r="D58" s="666"/>
      <c r="E58" s="666"/>
      <c r="F58" s="666"/>
      <c r="G58" s="131">
        <v>316</v>
      </c>
      <c r="H58" s="180">
        <v>0</v>
      </c>
      <c r="I58" s="133"/>
      <c r="J58" s="133"/>
      <c r="K58" s="133"/>
      <c r="L58" s="133"/>
      <c r="M58" s="133"/>
      <c r="N58" s="133">
        <f t="shared" si="5"/>
        <v>0</v>
      </c>
      <c r="O58" s="133"/>
      <c r="P58" s="133"/>
      <c r="Q58" s="133"/>
      <c r="R58" s="133"/>
      <c r="S58" s="133"/>
      <c r="T58" s="133"/>
      <c r="U58" s="133">
        <f>SUM(O58:T58)</f>
        <v>0</v>
      </c>
      <c r="V58" s="503"/>
      <c r="W58" s="503"/>
      <c r="X58" s="503"/>
      <c r="Y58" s="503"/>
      <c r="Z58" s="503"/>
    </row>
    <row r="59" spans="1:26" ht="15.75">
      <c r="A59" s="653" t="s">
        <v>52</v>
      </c>
      <c r="B59" s="654"/>
      <c r="C59" s="654"/>
      <c r="D59" s="654"/>
      <c r="E59" s="654"/>
      <c r="F59" s="655"/>
      <c r="G59" s="142" t="s">
        <v>53</v>
      </c>
      <c r="H59" s="542">
        <f>SUM(H50:H58)</f>
        <v>1673342</v>
      </c>
      <c r="I59" s="542">
        <f>SUM(I50:I58)</f>
        <v>0</v>
      </c>
      <c r="J59" s="542"/>
      <c r="K59" s="542">
        <f>SUM(K50:K58)</f>
        <v>0</v>
      </c>
      <c r="L59" s="542">
        <f>SUM(L50:L58)</f>
        <v>0</v>
      </c>
      <c r="M59" s="542"/>
      <c r="N59" s="144">
        <f t="shared" si="5"/>
        <v>1673342</v>
      </c>
      <c r="O59" s="144">
        <f aca="true" t="shared" si="7" ref="O59:T59">SUM(O52:O58)</f>
        <v>1665761</v>
      </c>
      <c r="P59" s="144">
        <f t="shared" si="7"/>
        <v>0</v>
      </c>
      <c r="Q59" s="144">
        <f t="shared" si="7"/>
        <v>0</v>
      </c>
      <c r="R59" s="144">
        <f t="shared" si="7"/>
        <v>0</v>
      </c>
      <c r="S59" s="144">
        <f t="shared" si="7"/>
        <v>0</v>
      </c>
      <c r="T59" s="144">
        <f t="shared" si="7"/>
        <v>0</v>
      </c>
      <c r="U59" s="144">
        <f>SUM(U52:U57)</f>
        <v>1670837</v>
      </c>
      <c r="V59" s="503"/>
      <c r="W59" s="503"/>
      <c r="X59" s="503"/>
      <c r="Y59" s="503"/>
      <c r="Z59" s="503"/>
    </row>
    <row r="60" spans="1:26" ht="44.25" customHeight="1">
      <c r="A60" s="650" t="s">
        <v>2</v>
      </c>
      <c r="B60" s="651"/>
      <c r="C60" s="651"/>
      <c r="D60" s="651"/>
      <c r="E60" s="651"/>
      <c r="F60" s="652"/>
      <c r="G60" s="528" t="s">
        <v>3</v>
      </c>
      <c r="H60" s="488" t="s">
        <v>647</v>
      </c>
      <c r="I60" s="488" t="s">
        <v>648</v>
      </c>
      <c r="J60" s="488" t="s">
        <v>763</v>
      </c>
      <c r="K60" s="488" t="s">
        <v>650</v>
      </c>
      <c r="L60" s="488" t="s">
        <v>651</v>
      </c>
      <c r="M60" s="488" t="s">
        <v>765</v>
      </c>
      <c r="N60" s="488" t="s">
        <v>856</v>
      </c>
      <c r="O60" s="488" t="s">
        <v>655</v>
      </c>
      <c r="P60" s="488" t="s">
        <v>656</v>
      </c>
      <c r="Q60" s="488" t="s">
        <v>657</v>
      </c>
      <c r="R60" s="488" t="s">
        <v>658</v>
      </c>
      <c r="S60" s="488" t="s">
        <v>659</v>
      </c>
      <c r="T60" s="488" t="s">
        <v>660</v>
      </c>
      <c r="U60" s="488" t="s">
        <v>832</v>
      </c>
      <c r="V60" s="503"/>
      <c r="W60" s="503"/>
      <c r="X60" s="503"/>
      <c r="Y60" s="503"/>
      <c r="Z60" s="503"/>
    </row>
    <row r="61" spans="1:26" ht="15.75">
      <c r="A61" s="650" t="s">
        <v>33</v>
      </c>
      <c r="B61" s="651"/>
      <c r="C61" s="651"/>
      <c r="D61" s="651"/>
      <c r="E61" s="651"/>
      <c r="F61" s="652"/>
      <c r="G61" s="528"/>
      <c r="H61" s="488"/>
      <c r="I61" s="529"/>
      <c r="J61" s="529"/>
      <c r="K61" s="488"/>
      <c r="L61" s="488"/>
      <c r="M61" s="488"/>
      <c r="N61" s="496">
        <f aca="true" t="shared" si="8" ref="N61:N68">SUM(H61:M61)</f>
        <v>0</v>
      </c>
      <c r="O61" s="496"/>
      <c r="P61" s="496"/>
      <c r="Q61" s="496"/>
      <c r="R61" s="496"/>
      <c r="S61" s="496"/>
      <c r="T61" s="496"/>
      <c r="U61" s="488"/>
      <c r="V61" s="503"/>
      <c r="W61" s="503"/>
      <c r="X61" s="503"/>
      <c r="Y61" s="503"/>
      <c r="Z61" s="503"/>
    </row>
    <row r="62" spans="1:26" ht="15.75">
      <c r="A62" s="653" t="s">
        <v>54</v>
      </c>
      <c r="B62" s="654"/>
      <c r="C62" s="654"/>
      <c r="D62" s="654"/>
      <c r="E62" s="654"/>
      <c r="F62" s="655"/>
      <c r="G62" s="154"/>
      <c r="H62" s="541"/>
      <c r="I62" s="127"/>
      <c r="J62" s="127"/>
      <c r="K62" s="127"/>
      <c r="L62" s="116"/>
      <c r="M62" s="116"/>
      <c r="N62" s="133">
        <f t="shared" si="8"/>
        <v>0</v>
      </c>
      <c r="O62" s="133"/>
      <c r="P62" s="133"/>
      <c r="Q62" s="133"/>
      <c r="R62" s="133"/>
      <c r="S62" s="133"/>
      <c r="T62" s="133"/>
      <c r="U62" s="127"/>
      <c r="V62" s="503"/>
      <c r="W62" s="503"/>
      <c r="X62" s="503"/>
      <c r="Y62" s="503"/>
      <c r="Z62" s="503"/>
    </row>
    <row r="63" spans="1:26" ht="15.75">
      <c r="A63" s="666" t="s">
        <v>55</v>
      </c>
      <c r="B63" s="666"/>
      <c r="C63" s="666"/>
      <c r="D63" s="666"/>
      <c r="E63" s="666"/>
      <c r="F63" s="666"/>
      <c r="G63" s="131">
        <v>410</v>
      </c>
      <c r="H63" s="180">
        <v>1146250</v>
      </c>
      <c r="I63" s="133">
        <f>160068-64984</f>
        <v>95084</v>
      </c>
      <c r="J63" s="133"/>
      <c r="K63" s="133"/>
      <c r="L63" s="163">
        <v>-95084</v>
      </c>
      <c r="M63" s="163"/>
      <c r="N63" s="133">
        <f t="shared" si="8"/>
        <v>1146250</v>
      </c>
      <c r="O63" s="133">
        <v>1146250</v>
      </c>
      <c r="P63" s="133">
        <f>159069-63985</f>
        <v>95084</v>
      </c>
      <c r="Q63" s="133"/>
      <c r="R63" s="133"/>
      <c r="S63" s="133">
        <v>-95084</v>
      </c>
      <c r="T63" s="133"/>
      <c r="U63" s="133">
        <v>1146250</v>
      </c>
      <c r="V63" s="551"/>
      <c r="W63" s="503"/>
      <c r="X63" s="503"/>
      <c r="Y63" s="503"/>
      <c r="Z63" s="503"/>
    </row>
    <row r="64" spans="1:26" ht="15.75">
      <c r="A64" s="666" t="s">
        <v>56</v>
      </c>
      <c r="B64" s="666"/>
      <c r="C64" s="666"/>
      <c r="D64" s="666"/>
      <c r="E64" s="666"/>
      <c r="F64" s="666"/>
      <c r="G64" s="131">
        <v>411</v>
      </c>
      <c r="H64" s="180"/>
      <c r="I64" s="133"/>
      <c r="J64" s="133"/>
      <c r="K64" s="133"/>
      <c r="L64" s="116"/>
      <c r="M64" s="116"/>
      <c r="N64" s="133">
        <f t="shared" si="8"/>
        <v>0</v>
      </c>
      <c r="O64" s="133"/>
      <c r="P64" s="133"/>
      <c r="Q64" s="133"/>
      <c r="R64" s="133"/>
      <c r="S64" s="133"/>
      <c r="T64" s="133"/>
      <c r="U64" s="133">
        <v>0</v>
      </c>
      <c r="V64" s="551"/>
      <c r="W64" s="503"/>
      <c r="X64" s="503"/>
      <c r="Y64" s="503"/>
      <c r="Z64" s="503"/>
    </row>
    <row r="65" spans="1:26" ht="15.75">
      <c r="A65" s="666" t="s">
        <v>57</v>
      </c>
      <c r="B65" s="666"/>
      <c r="C65" s="666"/>
      <c r="D65" s="666"/>
      <c r="E65" s="666"/>
      <c r="F65" s="666"/>
      <c r="G65" s="131">
        <v>412</v>
      </c>
      <c r="H65" s="180"/>
      <c r="I65" s="133"/>
      <c r="J65" s="133"/>
      <c r="K65" s="133"/>
      <c r="L65" s="116"/>
      <c r="M65" s="116"/>
      <c r="N65" s="133">
        <f t="shared" si="8"/>
        <v>0</v>
      </c>
      <c r="O65" s="133"/>
      <c r="P65" s="133"/>
      <c r="Q65" s="133"/>
      <c r="R65" s="133"/>
      <c r="S65" s="133"/>
      <c r="T65" s="133"/>
      <c r="U65" s="133">
        <v>0</v>
      </c>
      <c r="V65" s="551"/>
      <c r="W65" s="503"/>
      <c r="X65" s="503"/>
      <c r="Y65" s="503"/>
      <c r="Z65" s="503"/>
    </row>
    <row r="66" spans="1:26" ht="15.75">
      <c r="A66" s="643" t="s">
        <v>58</v>
      </c>
      <c r="B66" s="644"/>
      <c r="C66" s="644"/>
      <c r="D66" s="644"/>
      <c r="E66" s="644"/>
      <c r="F66" s="645"/>
      <c r="G66" s="131">
        <v>413</v>
      </c>
      <c r="H66" s="163"/>
      <c r="I66" s="133"/>
      <c r="J66" s="133"/>
      <c r="K66" s="133"/>
      <c r="L66" s="116"/>
      <c r="M66" s="116"/>
      <c r="N66" s="133">
        <f t="shared" si="8"/>
        <v>0</v>
      </c>
      <c r="O66" s="133"/>
      <c r="P66" s="133"/>
      <c r="Q66" s="133"/>
      <c r="R66" s="133"/>
      <c r="S66" s="133"/>
      <c r="T66" s="133"/>
      <c r="U66" s="168">
        <v>0</v>
      </c>
      <c r="V66" s="551"/>
      <c r="W66" s="503"/>
      <c r="X66" s="503"/>
      <c r="Y66" s="503"/>
      <c r="Z66" s="503"/>
    </row>
    <row r="67" spans="1:26" ht="15.75">
      <c r="A67" s="666" t="s">
        <v>59</v>
      </c>
      <c r="B67" s="666"/>
      <c r="C67" s="666"/>
      <c r="D67" s="666"/>
      <c r="E67" s="666"/>
      <c r="F67" s="666"/>
      <c r="G67" s="131">
        <v>414</v>
      </c>
      <c r="H67" s="163">
        <f>-235546-199683+3422+50</f>
        <v>-431757</v>
      </c>
      <c r="I67" s="133">
        <v>32351</v>
      </c>
      <c r="J67" s="133"/>
      <c r="K67" s="133"/>
      <c r="L67" s="116"/>
      <c r="M67" s="116"/>
      <c r="N67" s="345">
        <f t="shared" si="8"/>
        <v>-399406</v>
      </c>
      <c r="O67" s="345">
        <v>-984063</v>
      </c>
      <c r="P67" s="345">
        <v>32351</v>
      </c>
      <c r="Q67" s="345"/>
      <c r="R67" s="345"/>
      <c r="S67" s="345"/>
      <c r="T67" s="345"/>
      <c r="U67" s="345">
        <v>-203195</v>
      </c>
      <c r="V67" s="551"/>
      <c r="W67" s="503"/>
      <c r="X67" s="503"/>
      <c r="Y67" s="503"/>
      <c r="Z67" s="503"/>
    </row>
    <row r="68" spans="1:26" ht="15.75">
      <c r="A68" s="673" t="s">
        <v>60</v>
      </c>
      <c r="B68" s="674"/>
      <c r="C68" s="674"/>
      <c r="D68" s="674"/>
      <c r="E68" s="674"/>
      <c r="F68" s="675"/>
      <c r="G68" s="131">
        <v>415</v>
      </c>
      <c r="H68" s="180">
        <f>3493648-239319</f>
        <v>3254329</v>
      </c>
      <c r="I68" s="163">
        <v>-275081</v>
      </c>
      <c r="J68" s="163"/>
      <c r="K68" s="133"/>
      <c r="L68" s="116"/>
      <c r="M68" s="116"/>
      <c r="N68" s="133">
        <f t="shared" si="8"/>
        <v>2979248</v>
      </c>
      <c r="O68" s="133">
        <v>3148625</v>
      </c>
      <c r="P68" s="554">
        <v>-302434</v>
      </c>
      <c r="Q68" s="133">
        <v>-1067</v>
      </c>
      <c r="R68" s="133"/>
      <c r="S68" s="133"/>
      <c r="T68" s="133"/>
      <c r="U68" s="133">
        <f>2422914+203195</f>
        <v>2626109</v>
      </c>
      <c r="V68" s="551"/>
      <c r="W68" s="551"/>
      <c r="X68" s="503"/>
      <c r="Y68" s="503"/>
      <c r="Z68" s="503"/>
    </row>
    <row r="69" spans="1:26" ht="15.75">
      <c r="A69" s="643" t="s">
        <v>764</v>
      </c>
      <c r="B69" s="644"/>
      <c r="C69" s="644"/>
      <c r="D69" s="644"/>
      <c r="E69" s="644"/>
      <c r="F69" s="645"/>
      <c r="G69" s="131"/>
      <c r="H69" s="180"/>
      <c r="I69" s="163"/>
      <c r="J69" s="163"/>
      <c r="K69" s="133"/>
      <c r="L69" s="163"/>
      <c r="M69" s="163"/>
      <c r="N69" s="133"/>
      <c r="O69" s="133"/>
      <c r="P69" s="554"/>
      <c r="Q69" s="133"/>
      <c r="R69" s="133"/>
      <c r="S69" s="133"/>
      <c r="T69" s="133"/>
      <c r="U69" s="133"/>
      <c r="V69" s="551"/>
      <c r="W69" s="551"/>
      <c r="X69" s="503"/>
      <c r="Y69" s="503"/>
      <c r="Z69" s="503"/>
    </row>
    <row r="70" spans="1:26" s="509" customFormat="1" ht="29.25" customHeight="1">
      <c r="A70" s="668" t="s">
        <v>61</v>
      </c>
      <c r="B70" s="669"/>
      <c r="C70" s="669"/>
      <c r="D70" s="669"/>
      <c r="E70" s="669"/>
      <c r="F70" s="670"/>
      <c r="G70" s="142">
        <v>420</v>
      </c>
      <c r="H70" s="182">
        <f aca="true" t="shared" si="9" ref="H70:N70">H63+H64+H65+H66+H67+H68</f>
        <v>3968822</v>
      </c>
      <c r="I70" s="116">
        <f t="shared" si="9"/>
        <v>-147646</v>
      </c>
      <c r="J70" s="116">
        <f t="shared" si="9"/>
        <v>0</v>
      </c>
      <c r="K70" s="116">
        <f t="shared" si="9"/>
        <v>0</v>
      </c>
      <c r="L70" s="116">
        <f t="shared" si="9"/>
        <v>-95084</v>
      </c>
      <c r="M70" s="116">
        <f t="shared" si="9"/>
        <v>0</v>
      </c>
      <c r="N70" s="167">
        <f t="shared" si="9"/>
        <v>3726092</v>
      </c>
      <c r="O70" s="182">
        <f aca="true" t="shared" si="10" ref="O70:T70">O63+O64+O65+O66+O67+O68</f>
        <v>3310812</v>
      </c>
      <c r="P70" s="116">
        <f t="shared" si="10"/>
        <v>-174999</v>
      </c>
      <c r="Q70" s="182">
        <f t="shared" si="10"/>
        <v>-1067</v>
      </c>
      <c r="R70" s="182">
        <f t="shared" si="10"/>
        <v>0</v>
      </c>
      <c r="S70" s="182">
        <f t="shared" si="10"/>
        <v>-95084</v>
      </c>
      <c r="T70" s="182">
        <f t="shared" si="10"/>
        <v>0</v>
      </c>
      <c r="U70" s="144">
        <f>SUM(U63:U68)</f>
        <v>3569164</v>
      </c>
      <c r="V70" s="508"/>
      <c r="W70" s="508"/>
      <c r="X70" s="508"/>
      <c r="Y70" s="508"/>
      <c r="Z70" s="508"/>
    </row>
    <row r="71" spans="1:26" ht="15.75">
      <c r="A71" s="673" t="s">
        <v>62</v>
      </c>
      <c r="B71" s="674"/>
      <c r="C71" s="674"/>
      <c r="D71" s="674"/>
      <c r="E71" s="674"/>
      <c r="F71" s="675"/>
      <c r="G71" s="131">
        <v>421</v>
      </c>
      <c r="H71" s="180"/>
      <c r="I71" s="133">
        <v>-1</v>
      </c>
      <c r="J71" s="133"/>
      <c r="K71" s="133"/>
      <c r="L71" s="133"/>
      <c r="M71" s="133"/>
      <c r="N71" s="133">
        <f>SUM(H71:M71)</f>
        <v>-1</v>
      </c>
      <c r="O71" s="133"/>
      <c r="P71" s="133"/>
      <c r="Q71" s="133"/>
      <c r="R71" s="133"/>
      <c r="S71" s="133"/>
      <c r="T71" s="133"/>
      <c r="U71" s="133"/>
      <c r="V71" s="503"/>
      <c r="W71" s="503"/>
      <c r="X71" s="503"/>
      <c r="Y71" s="503"/>
      <c r="Z71" s="503"/>
    </row>
    <row r="72" spans="1:26" ht="15.75">
      <c r="A72" s="653" t="s">
        <v>63</v>
      </c>
      <c r="B72" s="654"/>
      <c r="C72" s="654"/>
      <c r="D72" s="654"/>
      <c r="E72" s="654"/>
      <c r="F72" s="655"/>
      <c r="G72" s="142">
        <v>500</v>
      </c>
      <c r="H72" s="542">
        <f aca="true" t="shared" si="11" ref="H72:M72">H70</f>
        <v>3968822</v>
      </c>
      <c r="I72" s="542">
        <f>I70-I71</f>
        <v>-147645</v>
      </c>
      <c r="J72" s="542">
        <f t="shared" si="11"/>
        <v>0</v>
      </c>
      <c r="K72" s="542">
        <f t="shared" si="11"/>
        <v>0</v>
      </c>
      <c r="L72" s="542">
        <f t="shared" si="11"/>
        <v>-95084</v>
      </c>
      <c r="M72" s="542">
        <f t="shared" si="11"/>
        <v>0</v>
      </c>
      <c r="N72" s="144">
        <f>SUM(H72:M72)</f>
        <v>3726093</v>
      </c>
      <c r="O72" s="144">
        <f aca="true" t="shared" si="12" ref="O72:T72">O70</f>
        <v>3310812</v>
      </c>
      <c r="P72" s="116">
        <f t="shared" si="12"/>
        <v>-174999</v>
      </c>
      <c r="Q72" s="144">
        <f t="shared" si="12"/>
        <v>-1067</v>
      </c>
      <c r="R72" s="144">
        <f t="shared" si="12"/>
        <v>0</v>
      </c>
      <c r="S72" s="144">
        <f t="shared" si="12"/>
        <v>-95084</v>
      </c>
      <c r="T72" s="144">
        <f t="shared" si="12"/>
        <v>0</v>
      </c>
      <c r="U72" s="150">
        <f>U70</f>
        <v>3569164</v>
      </c>
      <c r="V72" s="503"/>
      <c r="W72" s="503"/>
      <c r="X72" s="503"/>
      <c r="Y72" s="503"/>
      <c r="Z72" s="503"/>
    </row>
    <row r="73" spans="1:26" ht="15.75">
      <c r="A73" s="672" t="s">
        <v>32</v>
      </c>
      <c r="B73" s="672"/>
      <c r="C73" s="672"/>
      <c r="D73" s="672"/>
      <c r="E73" s="672"/>
      <c r="F73" s="672"/>
      <c r="G73" s="492"/>
      <c r="H73" s="477">
        <f aca="true" t="shared" si="13" ref="H73:M73">H49+H59+H72</f>
        <v>6310544</v>
      </c>
      <c r="I73" s="477">
        <f t="shared" si="13"/>
        <v>1080808</v>
      </c>
      <c r="J73" s="477">
        <f t="shared" si="13"/>
        <v>0</v>
      </c>
      <c r="K73" s="477">
        <f t="shared" si="13"/>
        <v>0</v>
      </c>
      <c r="L73" s="477">
        <f t="shared" si="13"/>
        <v>-363687</v>
      </c>
      <c r="M73" s="477">
        <f t="shared" si="13"/>
        <v>0</v>
      </c>
      <c r="N73" s="481">
        <f>SUM(H73:M73)</f>
        <v>7027665</v>
      </c>
      <c r="O73" s="481">
        <f aca="true" t="shared" si="14" ref="O73:U73">O49+O59+O72</f>
        <v>5708091</v>
      </c>
      <c r="P73" s="481">
        <f t="shared" si="14"/>
        <v>999042</v>
      </c>
      <c r="Q73" s="481">
        <f t="shared" si="14"/>
        <v>24491</v>
      </c>
      <c r="R73" s="481">
        <f t="shared" si="14"/>
        <v>0</v>
      </c>
      <c r="S73" s="481">
        <f t="shared" si="14"/>
        <v>-505072</v>
      </c>
      <c r="T73" s="481">
        <f t="shared" si="14"/>
        <v>-20285</v>
      </c>
      <c r="U73" s="481">
        <f t="shared" si="14"/>
        <v>6744525</v>
      </c>
      <c r="V73" s="503"/>
      <c r="W73" s="503"/>
      <c r="X73" s="503"/>
      <c r="Y73" s="503"/>
      <c r="Z73" s="503"/>
    </row>
    <row r="74" spans="8:26" ht="15.75">
      <c r="H74" s="555">
        <f>H37-H73</f>
        <v>0</v>
      </c>
      <c r="I74" s="555">
        <f aca="true" t="shared" si="15" ref="I74:N74">I73-I37</f>
        <v>0</v>
      </c>
      <c r="J74" s="555"/>
      <c r="K74" s="555">
        <f t="shared" si="15"/>
        <v>363687</v>
      </c>
      <c r="L74" s="555">
        <f t="shared" si="15"/>
        <v>-363687</v>
      </c>
      <c r="M74" s="555"/>
      <c r="N74" s="555">
        <f t="shared" si="15"/>
        <v>0</v>
      </c>
      <c r="O74" s="555"/>
      <c r="P74" s="555">
        <f aca="true" t="shared" si="16" ref="P74:U74">P73-P37</f>
        <v>0</v>
      </c>
      <c r="Q74" s="555">
        <f t="shared" si="16"/>
        <v>0</v>
      </c>
      <c r="R74" s="555">
        <f t="shared" si="16"/>
        <v>505072</v>
      </c>
      <c r="S74" s="555">
        <f t="shared" si="16"/>
        <v>-505072</v>
      </c>
      <c r="T74" s="555">
        <f t="shared" si="16"/>
        <v>0</v>
      </c>
      <c r="U74" s="555">
        <f t="shared" si="16"/>
        <v>0</v>
      </c>
      <c r="V74" s="503"/>
      <c r="W74" s="503"/>
      <c r="X74" s="503"/>
      <c r="Y74" s="503"/>
      <c r="Z74" s="503"/>
    </row>
    <row r="75" spans="2:26" ht="15.75">
      <c r="B75" s="504" t="s">
        <v>848</v>
      </c>
      <c r="I75" s="503"/>
      <c r="J75" s="503"/>
      <c r="N75" s="556"/>
      <c r="O75" s="555"/>
      <c r="P75" s="556"/>
      <c r="Q75" s="556"/>
      <c r="R75" s="556"/>
      <c r="S75" s="556"/>
      <c r="T75" s="556"/>
      <c r="U75" s="556"/>
      <c r="V75" s="503"/>
      <c r="W75" s="503"/>
      <c r="X75" s="503"/>
      <c r="Y75" s="503"/>
      <c r="Z75" s="503"/>
    </row>
    <row r="76" spans="9:26" ht="15.75">
      <c r="I76" s="503"/>
      <c r="J76" s="503"/>
      <c r="V76" s="503"/>
      <c r="W76" s="503"/>
      <c r="X76" s="503"/>
      <c r="Y76" s="503"/>
      <c r="Z76" s="503"/>
    </row>
    <row r="77" spans="2:26" ht="15.75">
      <c r="B77" s="504" t="s">
        <v>854</v>
      </c>
      <c r="I77" s="503"/>
      <c r="J77" s="503"/>
      <c r="N77" s="556"/>
      <c r="O77" s="556"/>
      <c r="P77" s="556"/>
      <c r="Q77" s="556"/>
      <c r="R77" s="556"/>
      <c r="S77" s="556"/>
      <c r="T77" s="556"/>
      <c r="U77" s="556"/>
      <c r="V77" s="503"/>
      <c r="W77" s="503"/>
      <c r="X77" s="503"/>
      <c r="Y77" s="503"/>
      <c r="Z77" s="503"/>
    </row>
    <row r="78" spans="9:26" ht="15.75">
      <c r="I78" s="503"/>
      <c r="J78" s="503"/>
      <c r="N78" s="556"/>
      <c r="O78" s="556"/>
      <c r="P78" s="556"/>
      <c r="Q78" s="556"/>
      <c r="R78" s="556"/>
      <c r="S78" s="556"/>
      <c r="T78" s="556"/>
      <c r="U78" s="556"/>
      <c r="V78" s="503"/>
      <c r="W78" s="503"/>
      <c r="X78" s="503"/>
      <c r="Y78" s="503"/>
      <c r="Z78" s="503"/>
    </row>
    <row r="79" spans="9:26" ht="15.75">
      <c r="I79" s="503"/>
      <c r="J79" s="503"/>
      <c r="N79" s="556"/>
      <c r="O79" s="556"/>
      <c r="P79" s="556"/>
      <c r="Q79" s="556"/>
      <c r="R79" s="556"/>
      <c r="S79" s="556"/>
      <c r="T79" s="556"/>
      <c r="U79" s="556"/>
      <c r="V79" s="503"/>
      <c r="W79" s="503"/>
      <c r="X79" s="503"/>
      <c r="Y79" s="503"/>
      <c r="Z79" s="503"/>
    </row>
    <row r="80" spans="9:26" ht="15.75">
      <c r="I80" s="503"/>
      <c r="J80" s="503"/>
      <c r="N80" s="556"/>
      <c r="O80" s="556"/>
      <c r="P80" s="556"/>
      <c r="Q80" s="556"/>
      <c r="R80" s="556"/>
      <c r="S80" s="556"/>
      <c r="T80" s="556"/>
      <c r="U80" s="556"/>
      <c r="V80" s="503"/>
      <c r="W80" s="503"/>
      <c r="X80" s="503"/>
      <c r="Y80" s="503"/>
      <c r="Z80" s="503"/>
    </row>
    <row r="81" spans="9:26" ht="15.75">
      <c r="I81" s="503"/>
      <c r="J81" s="503"/>
      <c r="N81" s="556"/>
      <c r="O81" s="556"/>
      <c r="P81" s="556"/>
      <c r="Q81" s="556"/>
      <c r="R81" s="556"/>
      <c r="S81" s="556"/>
      <c r="T81" s="556"/>
      <c r="U81" s="556"/>
      <c r="V81" s="503"/>
      <c r="W81" s="503"/>
      <c r="X81" s="503"/>
      <c r="Y81" s="503"/>
      <c r="Z81" s="503"/>
    </row>
    <row r="82" spans="9:26" ht="15.75">
      <c r="I82" s="503"/>
      <c r="J82" s="503"/>
      <c r="N82" s="556"/>
      <c r="O82" s="556"/>
      <c r="P82" s="556"/>
      <c r="Q82" s="556"/>
      <c r="R82" s="556"/>
      <c r="S82" s="556"/>
      <c r="T82" s="556"/>
      <c r="U82" s="556"/>
      <c r="V82" s="503"/>
      <c r="W82" s="503"/>
      <c r="X82" s="503"/>
      <c r="Y82" s="503"/>
      <c r="Z82" s="503"/>
    </row>
  </sheetData>
  <sheetProtection selectLockedCells="1" selectUnlockedCells="1"/>
  <mergeCells count="72">
    <mergeCell ref="A1:U1"/>
    <mergeCell ref="A2:U2"/>
    <mergeCell ref="A3:U3"/>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F69"/>
    <mergeCell ref="A70:F70"/>
    <mergeCell ref="A71:F71"/>
    <mergeCell ref="A72:F72"/>
    <mergeCell ref="A73:F73"/>
  </mergeCells>
  <printOptions/>
  <pageMargins left="1.1023622047244095" right="0.31496062992125984" top="0.7480314960629921" bottom="0.7480314960629921" header="0.31496062992125984" footer="0.31496062992125984"/>
  <pageSetup horizontalDpi="600" verticalDpi="600" orientation="portrait" paperSize="9" scale="75" r:id="rId1"/>
  <rowBreaks count="1" manualBreakCount="1">
    <brk id="59" max="22" man="1"/>
  </rowBreaks>
  <colBreaks count="1" manualBreakCount="1">
    <brk id="21" max="65535" man="1"/>
  </colBreaks>
</worksheet>
</file>

<file path=xl/worksheets/sheet3.xml><?xml version="1.0" encoding="utf-8"?>
<worksheet xmlns="http://schemas.openxmlformats.org/spreadsheetml/2006/main" xmlns:r="http://schemas.openxmlformats.org/officeDocument/2006/relationships">
  <dimension ref="A3:O54"/>
  <sheetViews>
    <sheetView view="pageBreakPreview" zoomScale="60" zoomScaleNormal="75" zoomScalePageLayoutView="0" workbookViewId="0" topLeftCell="A1">
      <selection activeCell="N15" sqref="N15"/>
    </sheetView>
  </sheetViews>
  <sheetFormatPr defaultColWidth="9.140625" defaultRowHeight="15"/>
  <cols>
    <col min="1" max="1" width="20.421875" style="411" customWidth="1"/>
    <col min="2" max="2" width="9.140625" style="411" customWidth="1"/>
    <col min="3" max="3" width="40.421875" style="411" customWidth="1"/>
    <col min="4" max="4" width="6.57421875" style="411" bestFit="1" customWidth="1"/>
    <col min="5" max="5" width="19.57421875" style="411" hidden="1" customWidth="1"/>
    <col min="6" max="6" width="20.421875" style="411" hidden="1" customWidth="1"/>
    <col min="7" max="8" width="21.8515625" style="411" hidden="1" customWidth="1"/>
    <col min="9" max="9" width="16.140625" style="463" customWidth="1"/>
    <col min="10" max="10" width="15.8515625" style="411" hidden="1" customWidth="1"/>
    <col min="11" max="13" width="14.00390625" style="411" hidden="1" customWidth="1"/>
    <col min="14" max="14" width="18.421875" style="411" customWidth="1"/>
    <col min="15" max="15" width="12.28125" style="411" bestFit="1" customWidth="1"/>
    <col min="16" max="16384" width="9.140625" style="411" customWidth="1"/>
  </cols>
  <sheetData>
    <row r="3" spans="1:14" ht="15">
      <c r="A3" s="649" t="s">
        <v>386</v>
      </c>
      <c r="B3" s="649"/>
      <c r="C3" s="649"/>
      <c r="D3" s="649"/>
      <c r="E3" s="649"/>
      <c r="F3" s="649"/>
      <c r="G3" s="649"/>
      <c r="H3" s="649"/>
      <c r="I3" s="649"/>
      <c r="J3" s="649"/>
      <c r="K3" s="649"/>
      <c r="L3" s="649"/>
      <c r="M3" s="649"/>
      <c r="N3" s="649"/>
    </row>
    <row r="4" spans="1:14" ht="15">
      <c r="A4" s="649" t="s">
        <v>830</v>
      </c>
      <c r="B4" s="649"/>
      <c r="C4" s="649"/>
      <c r="D4" s="649"/>
      <c r="E4" s="649"/>
      <c r="F4" s="649"/>
      <c r="G4" s="649"/>
      <c r="H4" s="649"/>
      <c r="I4" s="649"/>
      <c r="J4" s="649"/>
      <c r="K4" s="649"/>
      <c r="L4" s="649"/>
      <c r="M4" s="649"/>
      <c r="N4" s="649"/>
    </row>
    <row r="5" spans="1:14" ht="15">
      <c r="A5" s="450"/>
      <c r="B5" s="451"/>
      <c r="C5" s="649" t="s">
        <v>871</v>
      </c>
      <c r="D5" s="649"/>
      <c r="E5" s="649"/>
      <c r="F5" s="649"/>
      <c r="G5" s="649"/>
      <c r="H5" s="649"/>
      <c r="I5" s="649"/>
      <c r="J5" s="649"/>
      <c r="K5" s="649"/>
      <c r="L5" s="649"/>
      <c r="M5" s="649"/>
      <c r="N5" s="649"/>
    </row>
    <row r="6" spans="1:14" ht="16.5" thickBot="1">
      <c r="A6" s="450"/>
      <c r="B6" s="179"/>
      <c r="C6" s="179"/>
      <c r="D6" s="451"/>
      <c r="E6" s="451"/>
      <c r="F6" s="451"/>
      <c r="G6" s="179"/>
      <c r="H6" s="179"/>
      <c r="J6" s="451"/>
      <c r="K6" s="115"/>
      <c r="L6" s="115"/>
      <c r="M6" s="115"/>
      <c r="N6" s="452" t="s">
        <v>397</v>
      </c>
    </row>
    <row r="7" spans="1:14" ht="39" customHeight="1">
      <c r="A7" s="677" t="s">
        <v>2</v>
      </c>
      <c r="B7" s="677"/>
      <c r="C7" s="677"/>
      <c r="D7" s="468" t="s">
        <v>3</v>
      </c>
      <c r="E7" s="558" t="s">
        <v>862</v>
      </c>
      <c r="F7" s="559" t="s">
        <v>863</v>
      </c>
      <c r="G7" s="558" t="s">
        <v>833</v>
      </c>
      <c r="H7" s="558" t="s">
        <v>861</v>
      </c>
      <c r="I7" s="569" t="s">
        <v>398</v>
      </c>
      <c r="J7" s="567" t="s">
        <v>664</v>
      </c>
      <c r="K7" s="473" t="s">
        <v>665</v>
      </c>
      <c r="L7" s="474" t="s">
        <v>4</v>
      </c>
      <c r="M7" s="473" t="s">
        <v>5</v>
      </c>
      <c r="N7" s="448" t="s">
        <v>399</v>
      </c>
    </row>
    <row r="8" spans="1:14" ht="17.25" customHeight="1">
      <c r="A8" s="663" t="s">
        <v>64</v>
      </c>
      <c r="B8" s="663"/>
      <c r="C8" s="663"/>
      <c r="D8" s="453" t="s">
        <v>65</v>
      </c>
      <c r="E8" s="454">
        <f>1459023+1386020+200000-23715</f>
        <v>3021328</v>
      </c>
      <c r="F8" s="349">
        <v>3924467</v>
      </c>
      <c r="G8" s="351">
        <f>-1386020</f>
        <v>-1386020</v>
      </c>
      <c r="H8" s="351">
        <v>-500</v>
      </c>
      <c r="I8" s="570">
        <f>SUM(E8:H8)</f>
        <v>5559275</v>
      </c>
      <c r="J8" s="348">
        <v>6001496</v>
      </c>
      <c r="K8" s="349">
        <v>7711323</v>
      </c>
      <c r="L8" s="168">
        <f>-36429-3814-4-5357-5888430-8866</f>
        <v>-5942900</v>
      </c>
      <c r="M8" s="168">
        <v>-37122</v>
      </c>
      <c r="N8" s="251">
        <v>3621119</v>
      </c>
    </row>
    <row r="9" spans="1:14" ht="17.25" customHeight="1">
      <c r="A9" s="678" t="s">
        <v>66</v>
      </c>
      <c r="B9" s="678"/>
      <c r="C9" s="678"/>
      <c r="D9" s="453" t="s">
        <v>67</v>
      </c>
      <c r="E9" s="351">
        <f>1060870+1049646</f>
        <v>2110516</v>
      </c>
      <c r="F9" s="351">
        <v>3574033</v>
      </c>
      <c r="G9" s="351">
        <v>-500</v>
      </c>
      <c r="H9" s="351">
        <f>-1386020</f>
        <v>-1386020</v>
      </c>
      <c r="I9" s="251">
        <f>SUM(E9:H9)</f>
        <v>4298029</v>
      </c>
      <c r="J9" s="348">
        <v>4555961</v>
      </c>
      <c r="K9" s="349">
        <v>6832951</v>
      </c>
      <c r="L9" s="168">
        <v>-37122</v>
      </c>
      <c r="M9" s="168">
        <f>-8866-5888430</f>
        <v>-5897296</v>
      </c>
      <c r="N9" s="251">
        <v>2386772</v>
      </c>
    </row>
    <row r="10" spans="1:14" ht="17.25" customHeight="1">
      <c r="A10" s="661" t="s">
        <v>68</v>
      </c>
      <c r="B10" s="661"/>
      <c r="C10" s="661"/>
      <c r="D10" s="455" t="s">
        <v>69</v>
      </c>
      <c r="E10" s="181">
        <f aca="true" t="shared" si="0" ref="E10:N10">E8-E9</f>
        <v>910812</v>
      </c>
      <c r="F10" s="181">
        <f t="shared" si="0"/>
        <v>350434</v>
      </c>
      <c r="G10" s="350">
        <f t="shared" si="0"/>
        <v>-1385520</v>
      </c>
      <c r="H10" s="350">
        <f t="shared" si="0"/>
        <v>1385520</v>
      </c>
      <c r="I10" s="465">
        <f t="shared" si="0"/>
        <v>1261246</v>
      </c>
      <c r="J10" s="350">
        <f t="shared" si="0"/>
        <v>1445535</v>
      </c>
      <c r="K10" s="350">
        <f t="shared" si="0"/>
        <v>878372</v>
      </c>
      <c r="L10" s="167">
        <f t="shared" si="0"/>
        <v>-5905778</v>
      </c>
      <c r="M10" s="167">
        <f t="shared" si="0"/>
        <v>5860174</v>
      </c>
      <c r="N10" s="167">
        <f t="shared" si="0"/>
        <v>1234347</v>
      </c>
    </row>
    <row r="11" spans="1:14" ht="18.75" customHeight="1">
      <c r="A11" s="667" t="s">
        <v>766</v>
      </c>
      <c r="B11" s="667"/>
      <c r="C11" s="667"/>
      <c r="D11" s="453" t="s">
        <v>70</v>
      </c>
      <c r="E11" s="454">
        <v>0</v>
      </c>
      <c r="F11" s="349">
        <v>0</v>
      </c>
      <c r="G11" s="349"/>
      <c r="H11" s="349"/>
      <c r="I11" s="464">
        <f aca="true" t="shared" si="1" ref="I11:I18">SUM(E11:H11)</f>
        <v>0</v>
      </c>
      <c r="J11" s="348">
        <v>266578</v>
      </c>
      <c r="K11" s="349">
        <v>16</v>
      </c>
      <c r="L11" s="251"/>
      <c r="M11" s="251"/>
      <c r="N11" s="251">
        <v>1566</v>
      </c>
    </row>
    <row r="12" spans="1:14" ht="15.75">
      <c r="A12" s="663" t="s">
        <v>71</v>
      </c>
      <c r="B12" s="663"/>
      <c r="C12" s="663"/>
      <c r="D12" s="453" t="s">
        <v>72</v>
      </c>
      <c r="E12" s="454">
        <f>75246+18060</f>
        <v>93306</v>
      </c>
      <c r="F12" s="349">
        <v>52189</v>
      </c>
      <c r="G12" s="351">
        <v>-3928</v>
      </c>
      <c r="H12" s="351">
        <v>-134</v>
      </c>
      <c r="I12" s="464">
        <f t="shared" si="1"/>
        <v>141433</v>
      </c>
      <c r="J12" s="348">
        <v>192249</v>
      </c>
      <c r="K12" s="349">
        <v>88737</v>
      </c>
      <c r="L12" s="251"/>
      <c r="M12" s="168">
        <f>-27321-1339</f>
        <v>-28660</v>
      </c>
      <c r="N12" s="251">
        <v>120512</v>
      </c>
    </row>
    <row r="13" spans="1:14" ht="15.75">
      <c r="A13" s="663" t="s">
        <v>73</v>
      </c>
      <c r="B13" s="663"/>
      <c r="C13" s="663"/>
      <c r="D13" s="156" t="s">
        <v>74</v>
      </c>
      <c r="E13" s="351">
        <f>-40931-40865</f>
        <v>-81796</v>
      </c>
      <c r="F13" s="351">
        <v>-411645</v>
      </c>
      <c r="G13" s="349"/>
      <c r="H13" s="351">
        <v>3259</v>
      </c>
      <c r="I13" s="464">
        <f t="shared" si="1"/>
        <v>-490182</v>
      </c>
      <c r="J13" s="351">
        <v>-205969</v>
      </c>
      <c r="K13" s="351">
        <v>-767940</v>
      </c>
      <c r="L13" s="168"/>
      <c r="M13" s="168">
        <f>36429+3814+4+13937</f>
        <v>54184</v>
      </c>
      <c r="N13" s="168">
        <v>-415374</v>
      </c>
    </row>
    <row r="14" spans="1:14" ht="15.75">
      <c r="A14" s="663" t="s">
        <v>75</v>
      </c>
      <c r="B14" s="663"/>
      <c r="C14" s="663"/>
      <c r="D14" s="453" t="s">
        <v>76</v>
      </c>
      <c r="E14" s="351">
        <f>-193092-142446</f>
        <v>-335538</v>
      </c>
      <c r="F14" s="351">
        <v>-149622</v>
      </c>
      <c r="G14" s="351">
        <v>134</v>
      </c>
      <c r="H14" s="351">
        <v>669</v>
      </c>
      <c r="I14" s="464">
        <f t="shared" si="1"/>
        <v>-484357</v>
      </c>
      <c r="J14" s="351">
        <v>-780660</v>
      </c>
      <c r="K14" s="351">
        <v>-424479</v>
      </c>
      <c r="L14" s="168">
        <f>1339+27321</f>
        <v>28660</v>
      </c>
      <c r="M14" s="168">
        <f>5357+101198</f>
        <v>106555</v>
      </c>
      <c r="N14" s="168">
        <v>-594061</v>
      </c>
    </row>
    <row r="15" spans="1:14" ht="15.75">
      <c r="A15" s="663" t="s">
        <v>77</v>
      </c>
      <c r="B15" s="663"/>
      <c r="C15" s="663"/>
      <c r="D15" s="453" t="s">
        <v>78</v>
      </c>
      <c r="E15" s="351">
        <v>-45563</v>
      </c>
      <c r="F15" s="351">
        <v>-6813</v>
      </c>
      <c r="G15" s="351"/>
      <c r="H15" s="348"/>
      <c r="I15" s="464">
        <f t="shared" si="1"/>
        <v>-52376</v>
      </c>
      <c r="J15" s="351">
        <v>-178454</v>
      </c>
      <c r="K15" s="351">
        <v>-9152</v>
      </c>
      <c r="L15" s="168"/>
      <c r="M15" s="168">
        <v>7</v>
      </c>
      <c r="N15" s="168">
        <v>-100248</v>
      </c>
    </row>
    <row r="16" spans="1:14" ht="15.75">
      <c r="A16" s="683" t="s">
        <v>767</v>
      </c>
      <c r="B16" s="684"/>
      <c r="C16" s="685"/>
      <c r="D16" s="568" t="s">
        <v>80</v>
      </c>
      <c r="E16" s="454">
        <f>822+616</f>
        <v>1438</v>
      </c>
      <c r="F16" s="351"/>
      <c r="G16" s="351"/>
      <c r="H16" s="348"/>
      <c r="I16" s="464">
        <f t="shared" si="1"/>
        <v>1438</v>
      </c>
      <c r="J16" s="351">
        <v>2795</v>
      </c>
      <c r="K16" s="351"/>
      <c r="L16" s="168">
        <v>-7</v>
      </c>
      <c r="M16" s="168"/>
      <c r="N16" s="168">
        <v>0</v>
      </c>
    </row>
    <row r="17" spans="1:14" ht="15.75">
      <c r="A17" s="663" t="s">
        <v>79</v>
      </c>
      <c r="B17" s="663"/>
      <c r="C17" s="663"/>
      <c r="D17" s="453">
        <v>100</v>
      </c>
      <c r="E17" s="351">
        <f>-175-176</f>
        <v>-351</v>
      </c>
      <c r="F17" s="351">
        <v>-2712</v>
      </c>
      <c r="G17" s="351">
        <v>0</v>
      </c>
      <c r="H17" s="349"/>
      <c r="I17" s="464">
        <f t="shared" si="1"/>
        <v>-3063</v>
      </c>
      <c r="J17" s="351">
        <v>-1636</v>
      </c>
      <c r="K17" s="351">
        <v>-49299</v>
      </c>
      <c r="L17" s="168"/>
      <c r="M17" s="168"/>
      <c r="N17" s="168">
        <v>-6679</v>
      </c>
    </row>
    <row r="18" spans="1:14" ht="30.75" customHeight="1">
      <c r="A18" s="686" t="s">
        <v>81</v>
      </c>
      <c r="B18" s="686"/>
      <c r="C18" s="686"/>
      <c r="D18" s="456">
        <v>110</v>
      </c>
      <c r="E18" s="454"/>
      <c r="F18" s="180"/>
      <c r="G18" s="351"/>
      <c r="H18" s="180"/>
      <c r="I18" s="464">
        <f t="shared" si="1"/>
        <v>0</v>
      </c>
      <c r="J18" s="252"/>
      <c r="K18" s="251"/>
      <c r="L18" s="251"/>
      <c r="M18" s="251"/>
      <c r="N18" s="251">
        <f>SUM(J18:M18)</f>
        <v>0</v>
      </c>
    </row>
    <row r="19" spans="1:14" ht="42" customHeight="1">
      <c r="A19" s="679" t="s">
        <v>834</v>
      </c>
      <c r="B19" s="679"/>
      <c r="C19" s="679"/>
      <c r="D19" s="475">
        <v>120</v>
      </c>
      <c r="E19" s="476">
        <f>E10+E11+E12+E13+E14+E15+E16+E17+E18</f>
        <v>542308</v>
      </c>
      <c r="F19" s="476">
        <f>F10+F11+F12+F13+F14+F15+F16+F17+F18</f>
        <v>-168169</v>
      </c>
      <c r="G19" s="476">
        <f>G10+G11+G12+G13+G14+G15+G16+G17+G18</f>
        <v>-1389314</v>
      </c>
      <c r="H19" s="476">
        <f>H10+H11+H12+H13+H14+H15+H16+H17+H18</f>
        <v>1389314</v>
      </c>
      <c r="I19" s="482">
        <f>I10+I11+I12+I13+I14+I15+I16+I17+I18</f>
        <v>374139</v>
      </c>
      <c r="J19" s="449">
        <f>SUM(J10:J17)</f>
        <v>740438</v>
      </c>
      <c r="K19" s="449">
        <f>K10+K11+K12+K13+K14+K15+K17</f>
        <v>-283745</v>
      </c>
      <c r="L19" s="449">
        <f>L10+L11+L12+L13+L14+L15+L17+L16</f>
        <v>-5877125</v>
      </c>
      <c r="M19" s="449">
        <f>M10+M11+M12+M13+M14+M15+M17</f>
        <v>5992260</v>
      </c>
      <c r="N19" s="449">
        <f>SUM(N10:N17)</f>
        <v>240063</v>
      </c>
    </row>
    <row r="20" spans="1:14" ht="24" customHeight="1">
      <c r="A20" s="663" t="s">
        <v>82</v>
      </c>
      <c r="B20" s="663"/>
      <c r="C20" s="663"/>
      <c r="D20" s="453">
        <v>130</v>
      </c>
      <c r="E20" s="454"/>
      <c r="F20" s="182"/>
      <c r="G20" s="182"/>
      <c r="H20" s="182"/>
      <c r="I20" s="466">
        <f>SUM(E20:H20)</f>
        <v>0</v>
      </c>
      <c r="J20" s="253"/>
      <c r="K20" s="167"/>
      <c r="L20" s="167"/>
      <c r="M20" s="167"/>
      <c r="N20" s="251">
        <f>SUM(J20:M20)</f>
        <v>0</v>
      </c>
    </row>
    <row r="21" spans="1:15" ht="28.5" customHeight="1">
      <c r="A21" s="679" t="s">
        <v>835</v>
      </c>
      <c r="B21" s="679"/>
      <c r="C21" s="679"/>
      <c r="D21" s="475">
        <v>140</v>
      </c>
      <c r="E21" s="476">
        <f>E19</f>
        <v>542308</v>
      </c>
      <c r="F21" s="477">
        <f>F19</f>
        <v>-168169</v>
      </c>
      <c r="G21" s="477">
        <f>G19</f>
        <v>-1389314</v>
      </c>
      <c r="H21" s="477">
        <f>H19</f>
        <v>1389314</v>
      </c>
      <c r="I21" s="478">
        <f aca="true" t="shared" si="2" ref="I21:N21">I19</f>
        <v>374139</v>
      </c>
      <c r="J21" s="449">
        <f t="shared" si="2"/>
        <v>740438</v>
      </c>
      <c r="K21" s="449">
        <f t="shared" si="2"/>
        <v>-283745</v>
      </c>
      <c r="L21" s="449">
        <f t="shared" si="2"/>
        <v>-5877125</v>
      </c>
      <c r="M21" s="449">
        <f t="shared" si="2"/>
        <v>5992260</v>
      </c>
      <c r="N21" s="449">
        <f t="shared" si="2"/>
        <v>240063</v>
      </c>
      <c r="O21" s="457"/>
    </row>
    <row r="22" spans="1:14" ht="18.75" customHeight="1">
      <c r="A22" s="663" t="s">
        <v>83</v>
      </c>
      <c r="B22" s="663"/>
      <c r="C22" s="663"/>
      <c r="D22" s="453">
        <v>150</v>
      </c>
      <c r="E22" s="351">
        <v>-21000</v>
      </c>
      <c r="F22" s="182"/>
      <c r="G22" s="182"/>
      <c r="H22" s="182"/>
      <c r="I22" s="464">
        <f>SUM(E22:H22)</f>
        <v>-21000</v>
      </c>
      <c r="J22" s="351">
        <v>-82820</v>
      </c>
      <c r="K22" s="251"/>
      <c r="L22" s="251"/>
      <c r="M22" s="251"/>
      <c r="N22" s="464">
        <v>-40333</v>
      </c>
    </row>
    <row r="23" spans="1:14" ht="18.75" customHeight="1">
      <c r="A23" s="683" t="s">
        <v>768</v>
      </c>
      <c r="B23" s="684"/>
      <c r="C23" s="685"/>
      <c r="D23" s="453">
        <v>160</v>
      </c>
      <c r="E23" s="351">
        <v>0</v>
      </c>
      <c r="F23" s="182"/>
      <c r="G23" s="182"/>
      <c r="H23" s="182"/>
      <c r="I23" s="464">
        <f>SUM(E23:H23)</f>
        <v>0</v>
      </c>
      <c r="J23" s="253"/>
      <c r="K23" s="167"/>
      <c r="L23" s="167"/>
      <c r="M23" s="167"/>
      <c r="N23" s="251">
        <f>SUM(J23:M23)</f>
        <v>0</v>
      </c>
    </row>
    <row r="24" spans="1:14" ht="18.75" customHeight="1">
      <c r="A24" s="683" t="s">
        <v>807</v>
      </c>
      <c r="B24" s="684"/>
      <c r="C24" s="685"/>
      <c r="D24" s="453">
        <v>170</v>
      </c>
      <c r="E24" s="351"/>
      <c r="F24" s="182"/>
      <c r="G24" s="182"/>
      <c r="H24" s="182"/>
      <c r="I24" s="464">
        <f>SUM(E24:H24)</f>
        <v>0</v>
      </c>
      <c r="J24" s="351">
        <v>17724</v>
      </c>
      <c r="K24" s="167"/>
      <c r="L24" s="167"/>
      <c r="M24" s="167"/>
      <c r="N24" s="251">
        <v>0</v>
      </c>
    </row>
    <row r="25" spans="1:14" ht="30.75" customHeight="1">
      <c r="A25" s="679" t="s">
        <v>836</v>
      </c>
      <c r="B25" s="679"/>
      <c r="C25" s="679"/>
      <c r="D25" s="479">
        <v>180</v>
      </c>
      <c r="E25" s="477">
        <f>E21+E22+E23</f>
        <v>521308</v>
      </c>
      <c r="F25" s="449">
        <f>F21</f>
        <v>-168169</v>
      </c>
      <c r="G25" s="449">
        <f>G21</f>
        <v>-1389314</v>
      </c>
      <c r="H25" s="449">
        <f>H21</f>
        <v>1389314</v>
      </c>
      <c r="I25" s="478">
        <f aca="true" t="shared" si="3" ref="I25:N25">I21+I22+I23+I24</f>
        <v>353139</v>
      </c>
      <c r="J25" s="449">
        <f>J21+J22+J23+J24</f>
        <v>675342</v>
      </c>
      <c r="K25" s="449">
        <f t="shared" si="3"/>
        <v>-283745</v>
      </c>
      <c r="L25" s="449">
        <f t="shared" si="3"/>
        <v>-5877125</v>
      </c>
      <c r="M25" s="449">
        <f t="shared" si="3"/>
        <v>5992260</v>
      </c>
      <c r="N25" s="449">
        <f t="shared" si="3"/>
        <v>199730</v>
      </c>
    </row>
    <row r="26" spans="1:14" ht="15.75">
      <c r="A26" s="680" t="s">
        <v>84</v>
      </c>
      <c r="B26" s="681"/>
      <c r="C26" s="682"/>
      <c r="D26" s="456">
        <v>190</v>
      </c>
      <c r="E26" s="180"/>
      <c r="F26" s="182"/>
      <c r="G26" s="182"/>
      <c r="H26" s="182"/>
      <c r="I26" s="464">
        <f>SUM(E26:H26)</f>
        <v>0</v>
      </c>
      <c r="J26" s="167"/>
      <c r="K26" s="167"/>
      <c r="L26" s="167"/>
      <c r="M26" s="167"/>
      <c r="N26" s="251">
        <f>SUM(J26:M26)</f>
        <v>0</v>
      </c>
    </row>
    <row r="27" spans="1:14" ht="15.75">
      <c r="A27" s="680" t="s">
        <v>85</v>
      </c>
      <c r="B27" s="681"/>
      <c r="C27" s="682"/>
      <c r="D27" s="453">
        <v>200</v>
      </c>
      <c r="E27" s="180"/>
      <c r="F27" s="182"/>
      <c r="G27" s="182"/>
      <c r="H27" s="182"/>
      <c r="I27" s="464">
        <f>SUM(E27:H27)</f>
        <v>0</v>
      </c>
      <c r="J27" s="251"/>
      <c r="K27" s="167"/>
      <c r="L27" s="167"/>
      <c r="M27" s="167"/>
      <c r="N27" s="251">
        <f>SUM(J27:M27)</f>
        <v>0</v>
      </c>
    </row>
    <row r="28" spans="1:14" ht="15.75">
      <c r="A28" s="680" t="s">
        <v>86</v>
      </c>
      <c r="B28" s="681"/>
      <c r="C28" s="682"/>
      <c r="D28" s="458">
        <v>201</v>
      </c>
      <c r="E28" s="351">
        <v>0</v>
      </c>
      <c r="F28" s="182"/>
      <c r="G28" s="182"/>
      <c r="H28" s="182"/>
      <c r="I28" s="464">
        <f>SUM(E28:H28)</f>
        <v>0</v>
      </c>
      <c r="J28" s="251"/>
      <c r="K28" s="167"/>
      <c r="L28" s="167"/>
      <c r="M28" s="167"/>
      <c r="N28" s="251">
        <f>SUM(J28:M28)</f>
        <v>0</v>
      </c>
    </row>
    <row r="29" spans="1:14" ht="15.75">
      <c r="A29" s="680" t="s">
        <v>808</v>
      </c>
      <c r="B29" s="681"/>
      <c r="C29" s="682"/>
      <c r="D29" s="458">
        <v>202</v>
      </c>
      <c r="E29" s="351">
        <v>0</v>
      </c>
      <c r="F29" s="182"/>
      <c r="G29" s="182"/>
      <c r="H29" s="182"/>
      <c r="I29" s="464">
        <f>SUM(E29:H29)</f>
        <v>0</v>
      </c>
      <c r="J29" s="251"/>
      <c r="K29" s="167"/>
      <c r="L29" s="167"/>
      <c r="M29" s="167"/>
      <c r="N29" s="251"/>
    </row>
    <row r="30" spans="1:14" ht="18.75" customHeight="1">
      <c r="A30" s="663" t="s">
        <v>87</v>
      </c>
      <c r="B30" s="663"/>
      <c r="C30" s="663"/>
      <c r="D30" s="458">
        <v>203</v>
      </c>
      <c r="E30" s="454"/>
      <c r="F30" s="182">
        <v>-1</v>
      </c>
      <c r="G30" s="182"/>
      <c r="H30" s="182"/>
      <c r="I30" s="466">
        <f>SUM(E30:H30)</f>
        <v>-1</v>
      </c>
      <c r="J30" s="167"/>
      <c r="K30" s="167"/>
      <c r="L30" s="167"/>
      <c r="M30" s="167"/>
      <c r="N30" s="251">
        <f>SUM(J30:M30)</f>
        <v>0</v>
      </c>
    </row>
    <row r="31" spans="1:14" ht="32.25" customHeight="1">
      <c r="A31" s="679" t="s">
        <v>837</v>
      </c>
      <c r="B31" s="679"/>
      <c r="C31" s="679"/>
      <c r="D31" s="479">
        <v>210</v>
      </c>
      <c r="E31" s="477">
        <f>E25+E28+E29</f>
        <v>521308</v>
      </c>
      <c r="F31" s="477">
        <f>F25+F28-F30</f>
        <v>-168168</v>
      </c>
      <c r="G31" s="477">
        <f>G25+G28</f>
        <v>-1389314</v>
      </c>
      <c r="H31" s="477">
        <f>H25+H28</f>
        <v>1389314</v>
      </c>
      <c r="I31" s="478">
        <f>I25+I28+I29+I30</f>
        <v>353138</v>
      </c>
      <c r="J31" s="480">
        <f>J25</f>
        <v>675342</v>
      </c>
      <c r="K31" s="449">
        <f>K25</f>
        <v>-283745</v>
      </c>
      <c r="L31" s="449">
        <f>L25</f>
        <v>-5877125</v>
      </c>
      <c r="M31" s="449">
        <f>M25</f>
        <v>5992260</v>
      </c>
      <c r="N31" s="449">
        <f>N25</f>
        <v>199730</v>
      </c>
    </row>
    <row r="32" spans="1:14" ht="17.25" customHeight="1">
      <c r="A32" s="686" t="s">
        <v>88</v>
      </c>
      <c r="B32" s="686"/>
      <c r="C32" s="686"/>
      <c r="D32" s="456">
        <v>220</v>
      </c>
      <c r="E32" s="459" t="s">
        <v>37</v>
      </c>
      <c r="F32" s="182"/>
      <c r="G32" s="182"/>
      <c r="H32" s="182"/>
      <c r="I32" s="467"/>
      <c r="J32" s="182"/>
      <c r="K32" s="182"/>
      <c r="L32" s="182"/>
      <c r="M32" s="182"/>
      <c r="N32" s="180">
        <f>SUM(J32:M32)</f>
        <v>0</v>
      </c>
    </row>
    <row r="33" spans="6:8" ht="15.75">
      <c r="F33" s="352"/>
      <c r="G33" s="352"/>
      <c r="H33" s="352"/>
    </row>
    <row r="35" spans="1:10" ht="15.75">
      <c r="A35" s="121" t="s">
        <v>848</v>
      </c>
      <c r="B35" s="460"/>
      <c r="C35" s="121"/>
      <c r="D35" s="121"/>
      <c r="E35" s="121"/>
      <c r="F35" s="121"/>
      <c r="G35" s="121"/>
      <c r="H35" s="121"/>
      <c r="I35" s="165"/>
      <c r="J35" s="121"/>
    </row>
    <row r="36" spans="1:11" ht="15.75">
      <c r="A36" s="460"/>
      <c r="B36" s="460"/>
      <c r="C36" s="121"/>
      <c r="D36" s="121"/>
      <c r="E36" s="121"/>
      <c r="F36" s="121"/>
      <c r="G36" s="121"/>
      <c r="H36" s="121"/>
      <c r="I36" s="165"/>
      <c r="J36" s="121"/>
      <c r="K36" s="165"/>
    </row>
    <row r="37" spans="1:11" ht="15.75">
      <c r="A37" s="121" t="s">
        <v>396</v>
      </c>
      <c r="B37" s="460"/>
      <c r="C37" s="121"/>
      <c r="D37" s="121"/>
      <c r="E37" s="121"/>
      <c r="F37" s="121"/>
      <c r="G37" s="121"/>
      <c r="H37" s="121"/>
      <c r="I37" s="165"/>
      <c r="J37" s="121"/>
      <c r="K37" s="165"/>
    </row>
    <row r="39" ht="15.75">
      <c r="E39" s="484"/>
    </row>
    <row r="40" ht="15.75">
      <c r="E40" s="484"/>
    </row>
    <row r="41" ht="15.75">
      <c r="E41" s="484"/>
    </row>
    <row r="42" ht="15.75">
      <c r="E42" s="484"/>
    </row>
    <row r="43" ht="15.75">
      <c r="E43" s="484"/>
    </row>
    <row r="44" ht="15.75">
      <c r="E44" s="484"/>
    </row>
    <row r="45" ht="15.75">
      <c r="E45" s="485"/>
    </row>
    <row r="46" ht="15.75">
      <c r="E46" s="484"/>
    </row>
    <row r="47" ht="15.75">
      <c r="E47" s="484"/>
    </row>
    <row r="48" ht="15.75">
      <c r="E48" s="484"/>
    </row>
    <row r="49" ht="15.75">
      <c r="E49" s="484"/>
    </row>
    <row r="50" ht="15.75">
      <c r="E50" s="483"/>
    </row>
    <row r="51" ht="15.75">
      <c r="E51" s="461">
        <v>29533504.19</v>
      </c>
    </row>
    <row r="52" ht="15.75">
      <c r="E52" s="461">
        <v>14522988.04</v>
      </c>
    </row>
    <row r="53" ht="15.75">
      <c r="E53" s="461">
        <v>23749999.99</v>
      </c>
    </row>
    <row r="54" ht="15.75">
      <c r="E54" s="462">
        <f>SUM(E39:E53)</f>
        <v>67806492.22</v>
      </c>
    </row>
  </sheetData>
  <sheetProtection password="EA37" sheet="1" objects="1" scenarios="1" selectLockedCells="1" selectUnlockedCells="1"/>
  <mergeCells count="29">
    <mergeCell ref="A32:C32"/>
    <mergeCell ref="A17:C17"/>
    <mergeCell ref="A18:C18"/>
    <mergeCell ref="A19:C19"/>
    <mergeCell ref="A20:C20"/>
    <mergeCell ref="A21:C21"/>
    <mergeCell ref="A26:C26"/>
    <mergeCell ref="A28:C28"/>
    <mergeCell ref="A22:C22"/>
    <mergeCell ref="A23:C23"/>
    <mergeCell ref="A13:C13"/>
    <mergeCell ref="A14:C14"/>
    <mergeCell ref="A30:C30"/>
    <mergeCell ref="A31:C31"/>
    <mergeCell ref="A15:C15"/>
    <mergeCell ref="A25:C25"/>
    <mergeCell ref="A27:C27"/>
    <mergeCell ref="A16:C16"/>
    <mergeCell ref="A24:C24"/>
    <mergeCell ref="A29:C29"/>
    <mergeCell ref="A12:C12"/>
    <mergeCell ref="A11:C11"/>
    <mergeCell ref="A3:N3"/>
    <mergeCell ref="A4:N4"/>
    <mergeCell ref="A7:C7"/>
    <mergeCell ref="A8:C8"/>
    <mergeCell ref="A9:C9"/>
    <mergeCell ref="A10:C10"/>
    <mergeCell ref="C5:N5"/>
  </mergeCells>
  <printOptions/>
  <pageMargins left="1.1023622047244095" right="0.31496062992125984" top="0.7480314960629921" bottom="0.7480314960629921" header="0.31496062992125984" footer="0.31496062992125984"/>
  <pageSetup horizontalDpi="600" verticalDpi="600" orientation="portrait" paperSize="9" scale="77" r:id="rId1"/>
  <colBreaks count="1" manualBreakCount="1">
    <brk id="14" max="65535" man="1"/>
  </colBreaks>
</worksheet>
</file>

<file path=xl/worksheets/sheet4.xml><?xml version="1.0" encoding="utf-8"?>
<worksheet xmlns="http://schemas.openxmlformats.org/spreadsheetml/2006/main" xmlns:r="http://schemas.openxmlformats.org/officeDocument/2006/relationships">
  <dimension ref="A1:N79"/>
  <sheetViews>
    <sheetView view="pageBreakPreview" zoomScale="60" zoomScalePageLayoutView="0" workbookViewId="0" topLeftCell="A1">
      <selection activeCell="A19" sqref="A19:C19"/>
    </sheetView>
  </sheetViews>
  <sheetFormatPr defaultColWidth="9.140625" defaultRowHeight="15"/>
  <cols>
    <col min="1" max="2" width="9.140625" style="411" customWidth="1"/>
    <col min="3" max="3" width="43.7109375" style="411" customWidth="1"/>
    <col min="4" max="4" width="11.421875" style="411" customWidth="1"/>
    <col min="5" max="5" width="13.57421875" style="411" hidden="1" customWidth="1"/>
    <col min="6" max="6" width="12.8515625" style="411" hidden="1" customWidth="1"/>
    <col min="7" max="7" width="12.140625" style="411" hidden="1" customWidth="1"/>
    <col min="8" max="8" width="11.421875" style="411" hidden="1" customWidth="1"/>
    <col min="9" max="9" width="14.00390625" style="411" customWidth="1"/>
    <col min="10" max="10" width="12.421875" style="411" hidden="1" customWidth="1"/>
    <col min="11" max="13" width="11.421875" style="411" hidden="1" customWidth="1"/>
    <col min="14" max="14" width="14.28125" style="411" customWidth="1"/>
    <col min="15" max="15" width="11.421875" style="411" customWidth="1"/>
    <col min="16" max="16384" width="9.140625" style="411" customWidth="1"/>
  </cols>
  <sheetData>
    <row r="1" spans="1:14" ht="18.75">
      <c r="A1" s="694" t="s">
        <v>0</v>
      </c>
      <c r="B1" s="694"/>
      <c r="C1" s="694"/>
      <c r="D1" s="694"/>
      <c r="E1" s="694"/>
      <c r="F1" s="694"/>
      <c r="G1" s="694"/>
      <c r="H1" s="694"/>
      <c r="I1" s="694"/>
      <c r="J1" s="694"/>
      <c r="K1" s="694"/>
      <c r="L1" s="694"/>
      <c r="M1" s="694"/>
      <c r="N1" s="694"/>
    </row>
    <row r="2" spans="1:14" ht="34.5" customHeight="1">
      <c r="A2" s="695" t="s">
        <v>831</v>
      </c>
      <c r="B2" s="695"/>
      <c r="C2" s="695"/>
      <c r="D2" s="695"/>
      <c r="E2" s="695"/>
      <c r="F2" s="695"/>
      <c r="G2" s="695"/>
      <c r="H2" s="695"/>
      <c r="I2" s="695"/>
      <c r="J2" s="695"/>
      <c r="K2" s="695"/>
      <c r="L2" s="695"/>
      <c r="M2" s="695"/>
      <c r="N2" s="695"/>
    </row>
    <row r="3" spans="1:14" ht="15">
      <c r="A3" s="649" t="s">
        <v>871</v>
      </c>
      <c r="B3" s="649"/>
      <c r="C3" s="649"/>
      <c r="D3" s="649"/>
      <c r="E3" s="649"/>
      <c r="F3" s="649"/>
      <c r="G3" s="649"/>
      <c r="H3" s="649"/>
      <c r="I3" s="649"/>
      <c r="J3" s="649"/>
      <c r="K3" s="649"/>
      <c r="L3" s="649"/>
      <c r="M3" s="649"/>
      <c r="N3" s="649"/>
    </row>
    <row r="4" spans="1:14" ht="27" customHeight="1" thickBot="1">
      <c r="A4" s="512"/>
      <c r="B4" s="512"/>
      <c r="C4" s="512"/>
      <c r="D4" s="179"/>
      <c r="E4" s="179"/>
      <c r="F4" s="179"/>
      <c r="G4" s="179"/>
      <c r="H4" s="179"/>
      <c r="I4" s="513"/>
      <c r="J4" s="514"/>
      <c r="K4" s="514"/>
      <c r="L4" s="514"/>
      <c r="M4" s="514"/>
      <c r="N4" s="515" t="s">
        <v>1</v>
      </c>
    </row>
    <row r="5" spans="1:14" ht="46.5" customHeight="1">
      <c r="A5" s="650" t="s">
        <v>2</v>
      </c>
      <c r="B5" s="651"/>
      <c r="C5" s="652"/>
      <c r="D5" s="468" t="s">
        <v>3</v>
      </c>
      <c r="E5" s="469" t="s">
        <v>864</v>
      </c>
      <c r="F5" s="469" t="s">
        <v>865</v>
      </c>
      <c r="G5" s="469" t="s">
        <v>838</v>
      </c>
      <c r="H5" s="470" t="s">
        <v>839</v>
      </c>
      <c r="I5" s="488" t="s">
        <v>398</v>
      </c>
      <c r="J5" s="488" t="s">
        <v>843</v>
      </c>
      <c r="K5" s="488" t="s">
        <v>842</v>
      </c>
      <c r="L5" s="488" t="s">
        <v>650</v>
      </c>
      <c r="M5" s="488" t="s">
        <v>651</v>
      </c>
      <c r="N5" s="488" t="s">
        <v>399</v>
      </c>
    </row>
    <row r="6" spans="1:14" ht="15">
      <c r="A6" s="696" t="s">
        <v>89</v>
      </c>
      <c r="B6" s="697"/>
      <c r="C6" s="697"/>
      <c r="D6" s="698"/>
      <c r="E6" s="407"/>
      <c r="F6" s="407"/>
      <c r="G6" s="407"/>
      <c r="H6" s="407"/>
      <c r="I6" s="407"/>
      <c r="J6" s="407"/>
      <c r="K6" s="407"/>
      <c r="L6" s="407"/>
      <c r="M6" s="407"/>
      <c r="N6" s="407"/>
    </row>
    <row r="7" spans="1:14" ht="15">
      <c r="A7" s="690" t="s">
        <v>90</v>
      </c>
      <c r="B7" s="690"/>
      <c r="C7" s="690"/>
      <c r="D7" s="1">
        <v>10</v>
      </c>
      <c r="E7" s="31">
        <f>E9+E14</f>
        <v>3194110</v>
      </c>
      <c r="F7" s="31">
        <f>SUM(F9:F14)</f>
        <v>4683233</v>
      </c>
      <c r="G7" s="31">
        <f aca="true" t="shared" si="0" ref="G7:N7">SUM(G9:G14)</f>
        <v>-3179822</v>
      </c>
      <c r="H7" s="31">
        <f t="shared" si="0"/>
        <v>-281000</v>
      </c>
      <c r="I7" s="31">
        <f t="shared" si="0"/>
        <v>4416521</v>
      </c>
      <c r="J7" s="31">
        <f t="shared" si="0"/>
        <v>6459927</v>
      </c>
      <c r="K7" s="31">
        <f t="shared" si="0"/>
        <v>8697147</v>
      </c>
      <c r="L7" s="31">
        <f t="shared" si="0"/>
        <v>-6363714</v>
      </c>
      <c r="M7" s="31">
        <f t="shared" si="0"/>
        <v>-205219</v>
      </c>
      <c r="N7" s="31">
        <f t="shared" si="0"/>
        <v>3998201</v>
      </c>
    </row>
    <row r="8" spans="1:14" ht="15">
      <c r="A8" s="692" t="s">
        <v>91</v>
      </c>
      <c r="B8" s="692"/>
      <c r="C8" s="692"/>
      <c r="D8" s="2"/>
      <c r="E8" s="18"/>
      <c r="F8" s="18"/>
      <c r="G8" s="18"/>
      <c r="H8" s="18"/>
      <c r="I8" s="516"/>
      <c r="J8" s="18"/>
      <c r="K8" s="18"/>
      <c r="L8" s="18"/>
      <c r="M8" s="18"/>
      <c r="N8" s="516"/>
    </row>
    <row r="9" spans="1:14" ht="15">
      <c r="A9" s="687" t="s">
        <v>92</v>
      </c>
      <c r="B9" s="687"/>
      <c r="C9" s="687"/>
      <c r="D9" s="2">
        <v>11</v>
      </c>
      <c r="E9" s="32">
        <v>3194110</v>
      </c>
      <c r="F9" s="18">
        <v>4674315</v>
      </c>
      <c r="G9" s="32">
        <f>-3175100-4722</f>
        <v>-3179822</v>
      </c>
      <c r="H9" s="18">
        <v>-281000</v>
      </c>
      <c r="I9" s="516">
        <f aca="true" t="shared" si="1" ref="I9:I14">SUM(E9:H9)</f>
        <v>4407603</v>
      </c>
      <c r="J9" s="32">
        <v>6444801</v>
      </c>
      <c r="K9" s="18">
        <v>8687453</v>
      </c>
      <c r="L9" s="32">
        <f>-6363390-324</f>
        <v>-6363714</v>
      </c>
      <c r="M9" s="18">
        <f>-123000-82219</f>
        <v>-205219</v>
      </c>
      <c r="N9" s="516">
        <v>3995843</v>
      </c>
    </row>
    <row r="10" spans="1:14" ht="15">
      <c r="A10" s="687" t="s">
        <v>93</v>
      </c>
      <c r="B10" s="687"/>
      <c r="C10" s="687"/>
      <c r="D10" s="2">
        <v>12</v>
      </c>
      <c r="E10" s="18"/>
      <c r="F10" s="18">
        <v>980</v>
      </c>
      <c r="G10" s="18"/>
      <c r="H10" s="18"/>
      <c r="I10" s="516">
        <f t="shared" si="1"/>
        <v>980</v>
      </c>
      <c r="J10" s="18"/>
      <c r="K10" s="18">
        <v>7737</v>
      </c>
      <c r="L10" s="18"/>
      <c r="M10" s="18"/>
      <c r="N10" s="516">
        <v>0</v>
      </c>
    </row>
    <row r="11" spans="1:14" ht="15">
      <c r="A11" s="687" t="s">
        <v>94</v>
      </c>
      <c r="B11" s="687"/>
      <c r="C11" s="687"/>
      <c r="D11" s="2">
        <v>13</v>
      </c>
      <c r="E11" s="18"/>
      <c r="F11" s="18"/>
      <c r="G11" s="18"/>
      <c r="H11" s="18"/>
      <c r="I11" s="516">
        <f t="shared" si="1"/>
        <v>0</v>
      </c>
      <c r="J11" s="18"/>
      <c r="K11" s="18"/>
      <c r="L11" s="18"/>
      <c r="M11" s="18"/>
      <c r="N11" s="516">
        <f>SUM(J11:M11)</f>
        <v>0</v>
      </c>
    </row>
    <row r="12" spans="1:14" ht="15">
      <c r="A12" s="687" t="s">
        <v>95</v>
      </c>
      <c r="B12" s="687"/>
      <c r="C12" s="687"/>
      <c r="D12" s="2">
        <v>14</v>
      </c>
      <c r="E12" s="18"/>
      <c r="F12" s="18"/>
      <c r="G12" s="18"/>
      <c r="H12" s="18"/>
      <c r="I12" s="516">
        <f t="shared" si="1"/>
        <v>0</v>
      </c>
      <c r="J12" s="18"/>
      <c r="K12" s="18"/>
      <c r="L12" s="18"/>
      <c r="M12" s="18"/>
      <c r="N12" s="516">
        <f>SUM(J12:M12)</f>
        <v>0</v>
      </c>
    </row>
    <row r="13" spans="1:14" ht="15">
      <c r="A13" s="687" t="s">
        <v>96</v>
      </c>
      <c r="B13" s="687"/>
      <c r="C13" s="687"/>
      <c r="D13" s="2">
        <v>15</v>
      </c>
      <c r="E13" s="18"/>
      <c r="F13" s="18"/>
      <c r="G13" s="18"/>
      <c r="H13" s="18"/>
      <c r="I13" s="516">
        <f t="shared" si="1"/>
        <v>0</v>
      </c>
      <c r="J13" s="18"/>
      <c r="K13" s="18"/>
      <c r="L13" s="18"/>
      <c r="M13" s="18"/>
      <c r="N13" s="516">
        <f>SUM(J13:M13)</f>
        <v>0</v>
      </c>
    </row>
    <row r="14" spans="1:14" ht="15">
      <c r="A14" s="687" t="s">
        <v>97</v>
      </c>
      <c r="B14" s="687"/>
      <c r="C14" s="687"/>
      <c r="D14" s="2">
        <v>16</v>
      </c>
      <c r="E14" s="18">
        <v>0</v>
      </c>
      <c r="F14" s="18">
        <v>7938</v>
      </c>
      <c r="G14" s="18"/>
      <c r="H14" s="18"/>
      <c r="I14" s="516">
        <f t="shared" si="1"/>
        <v>7938</v>
      </c>
      <c r="J14" s="18">
        <v>15126</v>
      </c>
      <c r="K14" s="18">
        <v>1957</v>
      </c>
      <c r="L14" s="18"/>
      <c r="M14" s="18"/>
      <c r="N14" s="516">
        <v>2358</v>
      </c>
    </row>
    <row r="15" spans="1:14" ht="15">
      <c r="A15" s="690" t="s">
        <v>98</v>
      </c>
      <c r="B15" s="690"/>
      <c r="C15" s="690"/>
      <c r="D15" s="1">
        <v>20</v>
      </c>
      <c r="E15" s="31">
        <f aca="true" t="shared" si="2" ref="E15:N15">SUM(E17:E23)</f>
        <v>3279999</v>
      </c>
      <c r="F15" s="31">
        <f t="shared" si="2"/>
        <v>4630390</v>
      </c>
      <c r="G15" s="31">
        <f t="shared" si="2"/>
        <v>-281000</v>
      </c>
      <c r="H15" s="31">
        <f t="shared" si="2"/>
        <v>-3179822</v>
      </c>
      <c r="I15" s="31">
        <f t="shared" si="2"/>
        <v>4449567</v>
      </c>
      <c r="J15" s="31">
        <f t="shared" si="2"/>
        <v>5954456</v>
      </c>
      <c r="K15" s="31">
        <f t="shared" si="2"/>
        <v>8782207</v>
      </c>
      <c r="L15" s="31">
        <f t="shared" si="2"/>
        <v>-166280</v>
      </c>
      <c r="M15" s="31">
        <f t="shared" si="2"/>
        <v>-6363714</v>
      </c>
      <c r="N15" s="31">
        <f t="shared" si="2"/>
        <v>4103001</v>
      </c>
    </row>
    <row r="16" spans="1:14" ht="15">
      <c r="A16" s="692" t="s">
        <v>91</v>
      </c>
      <c r="B16" s="692"/>
      <c r="C16" s="692"/>
      <c r="D16" s="2"/>
      <c r="E16" s="18"/>
      <c r="F16" s="18"/>
      <c r="G16" s="18"/>
      <c r="H16" s="18"/>
      <c r="I16" s="516">
        <f aca="true" t="shared" si="3" ref="I16:I23">SUM(E16:H16)</f>
        <v>0</v>
      </c>
      <c r="J16" s="18"/>
      <c r="K16" s="18"/>
      <c r="L16" s="18"/>
      <c r="M16" s="18"/>
      <c r="N16" s="31">
        <v>0</v>
      </c>
    </row>
    <row r="17" spans="1:14" ht="15">
      <c r="A17" s="693" t="s">
        <v>99</v>
      </c>
      <c r="B17" s="693"/>
      <c r="C17" s="693"/>
      <c r="D17" s="2">
        <v>21</v>
      </c>
      <c r="E17" s="32">
        <f>2732445-6122+12893-1459</f>
        <v>2737757</v>
      </c>
      <c r="F17" s="18">
        <v>4296982</v>
      </c>
      <c r="G17" s="18">
        <v>-281000</v>
      </c>
      <c r="H17" s="32">
        <f>-3175100-4722</f>
        <v>-3179822</v>
      </c>
      <c r="I17" s="516">
        <f t="shared" si="3"/>
        <v>3573917</v>
      </c>
      <c r="J17" s="32">
        <v>4779718</v>
      </c>
      <c r="K17" s="18">
        <v>8146863</v>
      </c>
      <c r="L17" s="18">
        <f>-123000-43280</f>
        <v>-166280</v>
      </c>
      <c r="M17" s="32">
        <f>L9</f>
        <v>-6363714</v>
      </c>
      <c r="N17" s="516">
        <v>3211564</v>
      </c>
    </row>
    <row r="18" spans="1:14" ht="15">
      <c r="A18" s="687" t="s">
        <v>100</v>
      </c>
      <c r="B18" s="687"/>
      <c r="C18" s="687"/>
      <c r="D18" s="2">
        <v>22</v>
      </c>
      <c r="E18" s="18"/>
      <c r="F18" s="18"/>
      <c r="G18" s="18"/>
      <c r="H18" s="18"/>
      <c r="I18" s="516">
        <f t="shared" si="3"/>
        <v>0</v>
      </c>
      <c r="J18" s="18"/>
      <c r="K18" s="18"/>
      <c r="L18" s="18"/>
      <c r="M18" s="18"/>
      <c r="N18" s="516">
        <f>SUM(J18:M18)</f>
        <v>0</v>
      </c>
    </row>
    <row r="19" spans="1:14" ht="15">
      <c r="A19" s="687" t="s">
        <v>101</v>
      </c>
      <c r="B19" s="687"/>
      <c r="C19" s="687"/>
      <c r="D19" s="2">
        <v>23</v>
      </c>
      <c r="E19" s="32">
        <f>342407-230</f>
        <v>342177</v>
      </c>
      <c r="F19" s="18">
        <v>194159</v>
      </c>
      <c r="G19" s="18"/>
      <c r="H19" s="18"/>
      <c r="I19" s="516">
        <f t="shared" si="3"/>
        <v>536336</v>
      </c>
      <c r="J19" s="32">
        <v>746075</v>
      </c>
      <c r="K19" s="18">
        <v>425391</v>
      </c>
      <c r="L19" s="18"/>
      <c r="M19" s="18"/>
      <c r="N19" s="516">
        <v>511434</v>
      </c>
    </row>
    <row r="20" spans="1:14" ht="15">
      <c r="A20" s="687" t="s">
        <v>102</v>
      </c>
      <c r="B20" s="687"/>
      <c r="C20" s="687"/>
      <c r="D20" s="3">
        <v>24</v>
      </c>
      <c r="E20" s="18"/>
      <c r="F20" s="18">
        <v>7162</v>
      </c>
      <c r="G20" s="18"/>
      <c r="H20" s="18"/>
      <c r="I20" s="516">
        <f t="shared" si="3"/>
        <v>7162</v>
      </c>
      <c r="J20" s="18"/>
      <c r="K20" s="18">
        <v>5863</v>
      </c>
      <c r="L20" s="18"/>
      <c r="M20" s="18"/>
      <c r="N20" s="516">
        <v>10526</v>
      </c>
    </row>
    <row r="21" spans="1:14" ht="15">
      <c r="A21" s="702" t="s">
        <v>103</v>
      </c>
      <c r="B21" s="702"/>
      <c r="C21" s="702"/>
      <c r="D21" s="2">
        <v>25</v>
      </c>
      <c r="E21" s="32">
        <v>0</v>
      </c>
      <c r="F21" s="18"/>
      <c r="G21" s="18"/>
      <c r="H21" s="18"/>
      <c r="I21" s="516">
        <f t="shared" si="3"/>
        <v>0</v>
      </c>
      <c r="J21" s="32">
        <v>157</v>
      </c>
      <c r="K21" s="18"/>
      <c r="L21" s="18"/>
      <c r="M21" s="18"/>
      <c r="N21" s="516">
        <v>0</v>
      </c>
    </row>
    <row r="22" spans="1:14" ht="15">
      <c r="A22" s="687" t="s">
        <v>104</v>
      </c>
      <c r="B22" s="687"/>
      <c r="C22" s="687"/>
      <c r="D22" s="2">
        <v>26</v>
      </c>
      <c r="E22" s="32">
        <f>201261-1399</f>
        <v>199862</v>
      </c>
      <c r="F22" s="18">
        <v>119916</v>
      </c>
      <c r="G22" s="18"/>
      <c r="H22" s="18"/>
      <c r="I22" s="516">
        <f t="shared" si="3"/>
        <v>319778</v>
      </c>
      <c r="J22" s="32">
        <v>408865</v>
      </c>
      <c r="K22" s="18">
        <v>190284</v>
      </c>
      <c r="L22" s="18"/>
      <c r="M22" s="18"/>
      <c r="N22" s="516">
        <v>290693</v>
      </c>
    </row>
    <row r="23" spans="1:14" ht="15">
      <c r="A23" s="687" t="s">
        <v>105</v>
      </c>
      <c r="B23" s="687"/>
      <c r="C23" s="687"/>
      <c r="D23" s="2">
        <v>27</v>
      </c>
      <c r="E23" s="32">
        <f>15+188</f>
        <v>203</v>
      </c>
      <c r="F23" s="18">
        <v>12171</v>
      </c>
      <c r="G23" s="18"/>
      <c r="H23" s="18"/>
      <c r="I23" s="516">
        <f t="shared" si="3"/>
        <v>12374</v>
      </c>
      <c r="J23" s="32">
        <v>19641</v>
      </c>
      <c r="K23" s="18">
        <v>13806</v>
      </c>
      <c r="L23" s="18"/>
      <c r="M23" s="18"/>
      <c r="N23" s="516">
        <v>78784</v>
      </c>
    </row>
    <row r="24" spans="1:14" ht="28.5" customHeight="1">
      <c r="A24" s="689" t="s">
        <v>106</v>
      </c>
      <c r="B24" s="689"/>
      <c r="C24" s="689"/>
      <c r="D24" s="1">
        <v>30</v>
      </c>
      <c r="E24" s="31">
        <f aca="true" t="shared" si="4" ref="E24:M24">E7-E15</f>
        <v>-85889</v>
      </c>
      <c r="F24" s="31">
        <f t="shared" si="4"/>
        <v>52843</v>
      </c>
      <c r="G24" s="31">
        <f t="shared" si="4"/>
        <v>-2898822</v>
      </c>
      <c r="H24" s="31">
        <f t="shared" si="4"/>
        <v>2898822</v>
      </c>
      <c r="I24" s="31">
        <f t="shared" si="4"/>
        <v>-33046</v>
      </c>
      <c r="J24" s="31">
        <f t="shared" si="4"/>
        <v>505471</v>
      </c>
      <c r="K24" s="31">
        <f t="shared" si="4"/>
        <v>-85060</v>
      </c>
      <c r="L24" s="31">
        <f t="shared" si="4"/>
        <v>-6197434</v>
      </c>
      <c r="M24" s="31">
        <f t="shared" si="4"/>
        <v>6158495</v>
      </c>
      <c r="N24" s="31">
        <f>N7-N15</f>
        <v>-104800</v>
      </c>
    </row>
    <row r="25" spans="1:14" ht="15">
      <c r="A25" s="696" t="s">
        <v>107</v>
      </c>
      <c r="B25" s="697"/>
      <c r="C25" s="697"/>
      <c r="D25" s="698"/>
      <c r="E25" s="407"/>
      <c r="F25" s="407"/>
      <c r="G25" s="407"/>
      <c r="H25" s="407"/>
      <c r="I25" s="407"/>
      <c r="J25" s="407"/>
      <c r="K25" s="407"/>
      <c r="L25" s="407"/>
      <c r="M25" s="407"/>
      <c r="N25" s="407"/>
    </row>
    <row r="26" spans="1:14" ht="15">
      <c r="A26" s="690" t="s">
        <v>108</v>
      </c>
      <c r="B26" s="690"/>
      <c r="C26" s="690"/>
      <c r="D26" s="1">
        <v>40</v>
      </c>
      <c r="E26" s="31">
        <f>SUM(E28:E38)</f>
        <v>0</v>
      </c>
      <c r="F26" s="31">
        <f>SUM(F28:F38)</f>
        <v>300</v>
      </c>
      <c r="G26" s="31">
        <f aca="true" t="shared" si="5" ref="G26:N26">SUM(G28:G38)</f>
        <v>0</v>
      </c>
      <c r="H26" s="31">
        <f t="shared" si="5"/>
        <v>0</v>
      </c>
      <c r="I26" s="31">
        <f t="shared" si="5"/>
        <v>300</v>
      </c>
      <c r="J26" s="31">
        <f t="shared" si="5"/>
        <v>78780</v>
      </c>
      <c r="K26" s="31">
        <f t="shared" si="5"/>
        <v>114562</v>
      </c>
      <c r="L26" s="31">
        <f t="shared" si="5"/>
        <v>0</v>
      </c>
      <c r="M26" s="31">
        <f t="shared" si="5"/>
        <v>0</v>
      </c>
      <c r="N26" s="31">
        <f t="shared" si="5"/>
        <v>25000</v>
      </c>
    </row>
    <row r="27" spans="1:14" ht="15">
      <c r="A27" s="691" t="s">
        <v>91</v>
      </c>
      <c r="B27" s="691"/>
      <c r="C27" s="691"/>
      <c r="D27" s="2"/>
      <c r="E27" s="31"/>
      <c r="F27" s="31"/>
      <c r="G27" s="31"/>
      <c r="H27" s="31"/>
      <c r="I27" s="31">
        <f aca="true" t="shared" si="6" ref="I27:I38">SUM(E27:H27)</f>
        <v>0</v>
      </c>
      <c r="J27" s="33"/>
      <c r="K27" s="33"/>
      <c r="L27" s="33"/>
      <c r="M27" s="33"/>
      <c r="N27" s="18"/>
    </row>
    <row r="28" spans="1:14" ht="15">
      <c r="A28" s="687" t="s">
        <v>109</v>
      </c>
      <c r="B28" s="687"/>
      <c r="C28" s="687"/>
      <c r="D28" s="3">
        <v>41</v>
      </c>
      <c r="E28" s="31"/>
      <c r="F28" s="31">
        <f>F40</f>
        <v>0</v>
      </c>
      <c r="G28" s="31"/>
      <c r="H28" s="31"/>
      <c r="I28" s="31">
        <f t="shared" si="6"/>
        <v>0</v>
      </c>
      <c r="J28" s="33"/>
      <c r="K28" s="33"/>
      <c r="L28" s="33"/>
      <c r="M28" s="33"/>
      <c r="N28" s="18">
        <f>SUM(J28:M28)</f>
        <v>0</v>
      </c>
    </row>
    <row r="29" spans="1:14" ht="15">
      <c r="A29" s="687" t="s">
        <v>110</v>
      </c>
      <c r="B29" s="687"/>
      <c r="C29" s="687"/>
      <c r="D29" s="3">
        <v>42</v>
      </c>
      <c r="E29" s="33"/>
      <c r="F29" s="33"/>
      <c r="G29" s="33"/>
      <c r="H29" s="33"/>
      <c r="I29" s="31">
        <f t="shared" si="6"/>
        <v>0</v>
      </c>
      <c r="J29" s="33"/>
      <c r="K29" s="33"/>
      <c r="L29" s="33"/>
      <c r="M29" s="33"/>
      <c r="N29" s="18">
        <f>SUM(J29:M29)</f>
        <v>0</v>
      </c>
    </row>
    <row r="30" spans="1:14" ht="15">
      <c r="A30" s="687" t="s">
        <v>111</v>
      </c>
      <c r="B30" s="687"/>
      <c r="C30" s="687"/>
      <c r="D30" s="2">
        <v>43</v>
      </c>
      <c r="E30" s="33"/>
      <c r="F30" s="33"/>
      <c r="G30" s="33"/>
      <c r="H30" s="33"/>
      <c r="I30" s="31">
        <f t="shared" si="6"/>
        <v>0</v>
      </c>
      <c r="J30" s="33"/>
      <c r="K30" s="33"/>
      <c r="L30" s="33"/>
      <c r="M30" s="33"/>
      <c r="N30" s="18">
        <f>SUM(J30:M30)</f>
        <v>0</v>
      </c>
    </row>
    <row r="31" spans="1:14" ht="24" customHeight="1">
      <c r="A31" s="688" t="s">
        <v>112</v>
      </c>
      <c r="B31" s="688"/>
      <c r="C31" s="688"/>
      <c r="D31" s="2">
        <v>44</v>
      </c>
      <c r="E31" s="33"/>
      <c r="F31" s="33"/>
      <c r="G31" s="33"/>
      <c r="H31" s="33"/>
      <c r="I31" s="31">
        <f t="shared" si="6"/>
        <v>0</v>
      </c>
      <c r="J31" s="33"/>
      <c r="K31" s="33"/>
      <c r="L31" s="33"/>
      <c r="M31" s="33"/>
      <c r="N31" s="18">
        <f>SUM(J31:M31)</f>
        <v>0</v>
      </c>
    </row>
    <row r="32" spans="1:14" ht="15">
      <c r="A32" s="687" t="s">
        <v>113</v>
      </c>
      <c r="B32" s="687"/>
      <c r="C32" s="687"/>
      <c r="D32" s="2">
        <v>45</v>
      </c>
      <c r="E32" s="33"/>
      <c r="F32" s="33"/>
      <c r="G32" s="33"/>
      <c r="H32" s="33"/>
      <c r="I32" s="31">
        <f t="shared" si="6"/>
        <v>0</v>
      </c>
      <c r="J32" s="33"/>
      <c r="K32" s="33"/>
      <c r="L32" s="33"/>
      <c r="M32" s="33"/>
      <c r="N32" s="18">
        <f>SUM(J32:M32)</f>
        <v>0</v>
      </c>
    </row>
    <row r="33" spans="1:14" ht="15">
      <c r="A33" s="687" t="s">
        <v>666</v>
      </c>
      <c r="B33" s="687"/>
      <c r="C33" s="687"/>
      <c r="D33" s="2">
        <v>46</v>
      </c>
      <c r="E33" s="33"/>
      <c r="F33" s="33">
        <v>300</v>
      </c>
      <c r="G33" s="33"/>
      <c r="H33" s="33"/>
      <c r="I33" s="516">
        <f t="shared" si="6"/>
        <v>300</v>
      </c>
      <c r="J33" s="33"/>
      <c r="K33" s="33">
        <v>114562</v>
      </c>
      <c r="L33" s="33"/>
      <c r="M33" s="33"/>
      <c r="N33" s="18">
        <v>0</v>
      </c>
    </row>
    <row r="34" spans="1:14" ht="15">
      <c r="A34" s="687" t="s">
        <v>114</v>
      </c>
      <c r="B34" s="687"/>
      <c r="C34" s="687"/>
      <c r="D34" s="2">
        <v>47</v>
      </c>
      <c r="E34" s="33"/>
      <c r="F34" s="33"/>
      <c r="G34" s="33"/>
      <c r="H34" s="33"/>
      <c r="I34" s="31">
        <f t="shared" si="6"/>
        <v>0</v>
      </c>
      <c r="J34" s="33"/>
      <c r="K34" s="33"/>
      <c r="L34" s="33"/>
      <c r="M34" s="33"/>
      <c r="N34" s="18">
        <f>SUM(J34:M34)</f>
        <v>0</v>
      </c>
    </row>
    <row r="35" spans="1:14" ht="15">
      <c r="A35" s="687" t="s">
        <v>115</v>
      </c>
      <c r="B35" s="687"/>
      <c r="C35" s="687"/>
      <c r="D35" s="2">
        <v>48</v>
      </c>
      <c r="E35" s="33"/>
      <c r="F35" s="33"/>
      <c r="G35" s="33"/>
      <c r="H35" s="33"/>
      <c r="I35" s="31">
        <f t="shared" si="6"/>
        <v>0</v>
      </c>
      <c r="J35" s="33"/>
      <c r="K35" s="33"/>
      <c r="L35" s="33"/>
      <c r="M35" s="33"/>
      <c r="N35" s="18">
        <f>SUM(J35:M35)</f>
        <v>0</v>
      </c>
    </row>
    <row r="36" spans="1:14" ht="15">
      <c r="A36" s="688" t="s">
        <v>116</v>
      </c>
      <c r="B36" s="688"/>
      <c r="C36" s="688"/>
      <c r="D36" s="2">
        <v>49</v>
      </c>
      <c r="E36" s="33"/>
      <c r="F36" s="33"/>
      <c r="G36" s="33"/>
      <c r="H36" s="33"/>
      <c r="I36" s="31">
        <f t="shared" si="6"/>
        <v>0</v>
      </c>
      <c r="J36" s="33"/>
      <c r="K36" s="33"/>
      <c r="L36" s="33"/>
      <c r="M36" s="33"/>
      <c r="N36" s="18">
        <f>SUM(J36:M36)</f>
        <v>0</v>
      </c>
    </row>
    <row r="37" spans="1:14" ht="15">
      <c r="A37" s="688" t="s">
        <v>96</v>
      </c>
      <c r="B37" s="688"/>
      <c r="C37" s="688"/>
      <c r="D37" s="2">
        <v>50</v>
      </c>
      <c r="E37" s="33"/>
      <c r="F37" s="33"/>
      <c r="G37" s="33"/>
      <c r="H37" s="33"/>
      <c r="I37" s="31">
        <f t="shared" si="6"/>
        <v>0</v>
      </c>
      <c r="J37" s="33">
        <v>160</v>
      </c>
      <c r="K37" s="33"/>
      <c r="L37" s="33"/>
      <c r="M37" s="33"/>
      <c r="N37" s="18">
        <v>0</v>
      </c>
    </row>
    <row r="38" spans="1:14" ht="15">
      <c r="A38" s="687" t="s">
        <v>97</v>
      </c>
      <c r="B38" s="687"/>
      <c r="C38" s="687"/>
      <c r="D38" s="2">
        <v>51</v>
      </c>
      <c r="E38" s="33">
        <v>0</v>
      </c>
      <c r="F38" s="33">
        <v>0</v>
      </c>
      <c r="G38" s="33"/>
      <c r="H38" s="33"/>
      <c r="I38" s="516">
        <f t="shared" si="6"/>
        <v>0</v>
      </c>
      <c r="J38" s="33">
        <v>78620</v>
      </c>
      <c r="K38" s="33"/>
      <c r="L38" s="33"/>
      <c r="M38" s="33"/>
      <c r="N38" s="18">
        <v>25000</v>
      </c>
    </row>
    <row r="39" spans="1:14" ht="15">
      <c r="A39" s="699" t="s">
        <v>98</v>
      </c>
      <c r="B39" s="700"/>
      <c r="C39" s="701"/>
      <c r="D39" s="31">
        <v>60</v>
      </c>
      <c r="E39" s="31">
        <f>SUM(E41:E44,E46:E52)</f>
        <v>0</v>
      </c>
      <c r="F39" s="31">
        <f>SUM(F41:F44,F46:F52)</f>
        <v>0</v>
      </c>
      <c r="G39" s="31">
        <f aca="true" t="shared" si="7" ref="G39:N39">SUM(G41:G44,G46:G52)</f>
        <v>0</v>
      </c>
      <c r="H39" s="31">
        <f t="shared" si="7"/>
        <v>0</v>
      </c>
      <c r="I39" s="31">
        <f t="shared" si="7"/>
        <v>0</v>
      </c>
      <c r="J39" s="31">
        <f t="shared" si="7"/>
        <v>722451</v>
      </c>
      <c r="K39" s="31">
        <f t="shared" si="7"/>
        <v>309160</v>
      </c>
      <c r="L39" s="31">
        <f t="shared" si="7"/>
        <v>-85000</v>
      </c>
      <c r="M39" s="31">
        <f t="shared" si="7"/>
        <v>0</v>
      </c>
      <c r="N39" s="31">
        <f t="shared" si="7"/>
        <v>17027</v>
      </c>
    </row>
    <row r="40" spans="1:14" ht="15">
      <c r="A40" s="691" t="s">
        <v>91</v>
      </c>
      <c r="B40" s="691"/>
      <c r="C40" s="691"/>
      <c r="D40" s="2"/>
      <c r="E40" s="33"/>
      <c r="F40" s="33"/>
      <c r="G40" s="33"/>
      <c r="H40" s="33"/>
      <c r="I40" s="31">
        <f>SUM(E40:H40)</f>
        <v>0</v>
      </c>
      <c r="J40" s="33"/>
      <c r="K40" s="33"/>
      <c r="L40" s="33"/>
      <c r="M40" s="33"/>
      <c r="N40" s="31">
        <v>0</v>
      </c>
    </row>
    <row r="41" spans="1:14" ht="15">
      <c r="A41" s="687" t="s">
        <v>117</v>
      </c>
      <c r="B41" s="687"/>
      <c r="C41" s="687"/>
      <c r="D41" s="2">
        <v>61</v>
      </c>
      <c r="E41" s="34">
        <v>0</v>
      </c>
      <c r="F41" s="33"/>
      <c r="G41" s="18"/>
      <c r="H41" s="33"/>
      <c r="I41" s="516">
        <f>SUM(E41:H41)</f>
        <v>0</v>
      </c>
      <c r="J41" s="34">
        <v>22905</v>
      </c>
      <c r="K41" s="33"/>
      <c r="L41" s="18"/>
      <c r="M41" s="33"/>
      <c r="N41" s="516">
        <v>247</v>
      </c>
    </row>
    <row r="42" spans="1:14" ht="19.5" customHeight="1">
      <c r="A42" s="687" t="s">
        <v>118</v>
      </c>
      <c r="B42" s="687"/>
      <c r="C42" s="687"/>
      <c r="D42" s="2">
        <v>62</v>
      </c>
      <c r="E42" s="33"/>
      <c r="F42" s="33"/>
      <c r="G42" s="33"/>
      <c r="H42" s="33"/>
      <c r="I42" s="31">
        <f>SUM(E42:H42)</f>
        <v>0</v>
      </c>
      <c r="J42" s="33"/>
      <c r="K42" s="33"/>
      <c r="L42" s="33"/>
      <c r="M42" s="33"/>
      <c r="N42" s="516">
        <f>SUM(J42:M42)</f>
        <v>0</v>
      </c>
    </row>
    <row r="43" spans="1:14" ht="19.5" customHeight="1">
      <c r="A43" s="703" t="s">
        <v>119</v>
      </c>
      <c r="B43" s="703"/>
      <c r="C43" s="703"/>
      <c r="D43" s="2">
        <v>63</v>
      </c>
      <c r="E43" s="33"/>
      <c r="F43" s="33"/>
      <c r="G43" s="33"/>
      <c r="H43" s="33"/>
      <c r="I43" s="31">
        <f>SUM(E43:H43)</f>
        <v>0</v>
      </c>
      <c r="J43" s="33">
        <v>4371</v>
      </c>
      <c r="K43" s="33"/>
      <c r="L43" s="33"/>
      <c r="M43" s="33"/>
      <c r="N43" s="516">
        <v>0</v>
      </c>
    </row>
    <row r="44" spans="1:14" ht="39.75" customHeight="1" thickBot="1">
      <c r="A44" s="688" t="s">
        <v>120</v>
      </c>
      <c r="B44" s="688"/>
      <c r="C44" s="688"/>
      <c r="D44" s="2">
        <v>64</v>
      </c>
      <c r="E44" s="33"/>
      <c r="F44" s="33"/>
      <c r="G44" s="33"/>
      <c r="H44" s="33"/>
      <c r="I44" s="31">
        <f>SUM(E44:H44)</f>
        <v>0</v>
      </c>
      <c r="J44" s="33"/>
      <c r="K44" s="33"/>
      <c r="L44" s="33"/>
      <c r="M44" s="33"/>
      <c r="N44" s="516">
        <f>SUM(J44:M44)</f>
        <v>0</v>
      </c>
    </row>
    <row r="45" spans="1:14" ht="42.75" customHeight="1">
      <c r="A45" s="650" t="s">
        <v>2</v>
      </c>
      <c r="B45" s="651"/>
      <c r="C45" s="652"/>
      <c r="D45" s="468" t="s">
        <v>3</v>
      </c>
      <c r="E45" s="469" t="s">
        <v>840</v>
      </c>
      <c r="F45" s="469" t="s">
        <v>841</v>
      </c>
      <c r="G45" s="469" t="s">
        <v>838</v>
      </c>
      <c r="H45" s="470" t="s">
        <v>839</v>
      </c>
      <c r="I45" s="488" t="s">
        <v>398</v>
      </c>
      <c r="J45" s="488" t="s">
        <v>843</v>
      </c>
      <c r="K45" s="488" t="s">
        <v>842</v>
      </c>
      <c r="L45" s="488" t="s">
        <v>650</v>
      </c>
      <c r="M45" s="488" t="s">
        <v>651</v>
      </c>
      <c r="N45" s="488" t="s">
        <v>399</v>
      </c>
    </row>
    <row r="46" spans="1:14" ht="15">
      <c r="A46" s="687" t="s">
        <v>121</v>
      </c>
      <c r="B46" s="687"/>
      <c r="C46" s="687"/>
      <c r="D46" s="2">
        <v>65</v>
      </c>
      <c r="E46" s="33"/>
      <c r="F46" s="33"/>
      <c r="G46" s="33"/>
      <c r="H46" s="33"/>
      <c r="I46" s="31">
        <f aca="true" t="shared" si="8" ref="I46:I52">SUM(E46:H46)</f>
        <v>0</v>
      </c>
      <c r="J46" s="33"/>
      <c r="K46" s="33"/>
      <c r="L46" s="33"/>
      <c r="M46" s="33"/>
      <c r="N46" s="516">
        <f>SUM(J46:M46)</f>
        <v>0</v>
      </c>
    </row>
    <row r="47" spans="1:14" ht="15">
      <c r="A47" s="687" t="s">
        <v>122</v>
      </c>
      <c r="B47" s="687"/>
      <c r="C47" s="687"/>
      <c r="D47" s="2">
        <v>66</v>
      </c>
      <c r="E47" s="33"/>
      <c r="F47" s="33"/>
      <c r="G47" s="33"/>
      <c r="H47" s="33"/>
      <c r="I47" s="31">
        <f t="shared" si="8"/>
        <v>0</v>
      </c>
      <c r="J47" s="33"/>
      <c r="K47" s="33"/>
      <c r="L47" s="33"/>
      <c r="M47" s="33"/>
      <c r="N47" s="516">
        <f>SUM(J47:M47)</f>
        <v>0</v>
      </c>
    </row>
    <row r="48" spans="1:14" ht="15">
      <c r="A48" s="693" t="s">
        <v>123</v>
      </c>
      <c r="B48" s="693"/>
      <c r="C48" s="693"/>
      <c r="D48" s="2">
        <v>67</v>
      </c>
      <c r="E48" s="34"/>
      <c r="F48" s="33"/>
      <c r="G48" s="33"/>
      <c r="H48" s="33"/>
      <c r="I48" s="31">
        <f t="shared" si="8"/>
        <v>0</v>
      </c>
      <c r="J48" s="34"/>
      <c r="K48" s="33"/>
      <c r="L48" s="33"/>
      <c r="M48" s="33"/>
      <c r="N48" s="516">
        <f>SUM(J48:M48)</f>
        <v>0</v>
      </c>
    </row>
    <row r="49" spans="1:14" ht="15">
      <c r="A49" s="693" t="s">
        <v>667</v>
      </c>
      <c r="B49" s="693"/>
      <c r="C49" s="693"/>
      <c r="D49" s="2">
        <v>68</v>
      </c>
      <c r="E49" s="34">
        <v>0</v>
      </c>
      <c r="F49" s="33">
        <v>0</v>
      </c>
      <c r="G49" s="33"/>
      <c r="H49" s="33"/>
      <c r="I49" s="516">
        <f t="shared" si="8"/>
        <v>0</v>
      </c>
      <c r="J49" s="34">
        <v>610175</v>
      </c>
      <c r="K49" s="33">
        <v>309160</v>
      </c>
      <c r="L49" s="33"/>
      <c r="M49" s="33"/>
      <c r="N49" s="516">
        <v>16780</v>
      </c>
    </row>
    <row r="50" spans="1:14" ht="15">
      <c r="A50" s="704" t="s">
        <v>115</v>
      </c>
      <c r="B50" s="704"/>
      <c r="C50" s="704"/>
      <c r="D50" s="2">
        <v>69</v>
      </c>
      <c r="E50" s="33"/>
      <c r="F50" s="33"/>
      <c r="G50" s="33"/>
      <c r="H50" s="33"/>
      <c r="I50" s="31">
        <f t="shared" si="8"/>
        <v>0</v>
      </c>
      <c r="J50" s="33"/>
      <c r="K50" s="33"/>
      <c r="L50" s="33"/>
      <c r="M50" s="33"/>
      <c r="N50" s="516">
        <f>SUM(J50:M50)</f>
        <v>0</v>
      </c>
    </row>
    <row r="51" spans="1:14" ht="15">
      <c r="A51" s="688" t="s">
        <v>124</v>
      </c>
      <c r="B51" s="688"/>
      <c r="C51" s="688"/>
      <c r="D51" s="2">
        <v>70</v>
      </c>
      <c r="E51" s="33"/>
      <c r="F51" s="33"/>
      <c r="G51" s="33"/>
      <c r="H51" s="33"/>
      <c r="I51" s="31">
        <f t="shared" si="8"/>
        <v>0</v>
      </c>
      <c r="J51" s="33"/>
      <c r="K51" s="33"/>
      <c r="L51" s="33"/>
      <c r="M51" s="33"/>
      <c r="N51" s="516">
        <f>SUM(J51:M51)</f>
        <v>0</v>
      </c>
    </row>
    <row r="52" spans="1:14" ht="15">
      <c r="A52" s="687" t="s">
        <v>105</v>
      </c>
      <c r="B52" s="687"/>
      <c r="C52" s="687"/>
      <c r="D52" s="2">
        <v>71</v>
      </c>
      <c r="E52" s="34"/>
      <c r="F52" s="33"/>
      <c r="G52" s="35"/>
      <c r="H52" s="33"/>
      <c r="I52" s="31">
        <f t="shared" si="8"/>
        <v>0</v>
      </c>
      <c r="J52" s="34">
        <v>85000</v>
      </c>
      <c r="K52" s="33"/>
      <c r="L52" s="35">
        <v>-85000</v>
      </c>
      <c r="M52" s="33"/>
      <c r="N52" s="516">
        <f>SUM(J52:M52)</f>
        <v>0</v>
      </c>
    </row>
    <row r="53" spans="1:14" ht="29.25" customHeight="1">
      <c r="A53" s="689" t="s">
        <v>125</v>
      </c>
      <c r="B53" s="689"/>
      <c r="C53" s="689"/>
      <c r="D53" s="1">
        <v>80</v>
      </c>
      <c r="E53" s="31">
        <f aca="true" t="shared" si="9" ref="E53:M53">E26-E39</f>
        <v>0</v>
      </c>
      <c r="F53" s="31">
        <f t="shared" si="9"/>
        <v>300</v>
      </c>
      <c r="G53" s="31">
        <f t="shared" si="9"/>
        <v>0</v>
      </c>
      <c r="H53" s="31">
        <f t="shared" si="9"/>
        <v>0</v>
      </c>
      <c r="I53" s="31">
        <f t="shared" si="9"/>
        <v>300</v>
      </c>
      <c r="J53" s="31">
        <f t="shared" si="9"/>
        <v>-643671</v>
      </c>
      <c r="K53" s="31">
        <f t="shared" si="9"/>
        <v>-194598</v>
      </c>
      <c r="L53" s="31">
        <f t="shared" si="9"/>
        <v>85000</v>
      </c>
      <c r="M53" s="31">
        <f t="shared" si="9"/>
        <v>0</v>
      </c>
      <c r="N53" s="31">
        <f>N26-N39</f>
        <v>7973</v>
      </c>
    </row>
    <row r="54" spans="1:14" ht="15">
      <c r="A54" s="696" t="s">
        <v>126</v>
      </c>
      <c r="B54" s="697"/>
      <c r="C54" s="697"/>
      <c r="D54" s="698"/>
      <c r="E54" s="407"/>
      <c r="F54" s="407"/>
      <c r="G54" s="407"/>
      <c r="H54" s="407"/>
      <c r="I54" s="407"/>
      <c r="J54" s="407"/>
      <c r="K54" s="407"/>
      <c r="L54" s="407"/>
      <c r="M54" s="407"/>
      <c r="N54" s="407"/>
    </row>
    <row r="55" spans="1:14" ht="15">
      <c r="A55" s="690" t="s">
        <v>127</v>
      </c>
      <c r="B55" s="690"/>
      <c r="C55" s="690"/>
      <c r="D55" s="1">
        <v>90</v>
      </c>
      <c r="E55" s="31">
        <f>SUM(E57:E60)</f>
        <v>1200000</v>
      </c>
      <c r="F55" s="31">
        <f>SUM(F57:F60)</f>
        <v>698000</v>
      </c>
      <c r="G55" s="31">
        <f>SUM(G57:G60)</f>
        <v>0</v>
      </c>
      <c r="H55" s="31">
        <f>SUM(H57:H60)</f>
        <v>0</v>
      </c>
      <c r="I55" s="31">
        <f aca="true" t="shared" si="10" ref="I55:N55">SUM(I57:I60)</f>
        <v>1898000</v>
      </c>
      <c r="J55" s="31">
        <f t="shared" si="10"/>
        <v>2156232</v>
      </c>
      <c r="K55" s="31">
        <f t="shared" si="10"/>
        <v>843000</v>
      </c>
      <c r="L55" s="31">
        <f t="shared" si="10"/>
        <v>0</v>
      </c>
      <c r="M55" s="31">
        <f t="shared" si="10"/>
        <v>-85000</v>
      </c>
      <c r="N55" s="31">
        <f t="shared" si="10"/>
        <v>2214734</v>
      </c>
    </row>
    <row r="56" spans="1:14" ht="15">
      <c r="A56" s="691" t="s">
        <v>91</v>
      </c>
      <c r="B56" s="691"/>
      <c r="C56" s="691"/>
      <c r="D56" s="2"/>
      <c r="E56" s="33"/>
      <c r="F56" s="33"/>
      <c r="G56" s="33"/>
      <c r="H56" s="33"/>
      <c r="I56" s="31">
        <f>SUM(E56:H56)</f>
        <v>0</v>
      </c>
      <c r="J56" s="33"/>
      <c r="K56" s="33"/>
      <c r="L56" s="33"/>
      <c r="M56" s="33"/>
      <c r="N56" s="516"/>
    </row>
    <row r="57" spans="1:14" ht="15">
      <c r="A57" s="687" t="s">
        <v>128</v>
      </c>
      <c r="B57" s="687"/>
      <c r="C57" s="687"/>
      <c r="D57" s="2">
        <v>91</v>
      </c>
      <c r="E57" s="32"/>
      <c r="F57" s="18"/>
      <c r="G57" s="18"/>
      <c r="H57" s="18"/>
      <c r="I57" s="31">
        <f>SUM(E57:H57)</f>
        <v>0</v>
      </c>
      <c r="J57" s="32"/>
      <c r="K57" s="18">
        <v>85000</v>
      </c>
      <c r="L57" s="18"/>
      <c r="M57" s="18">
        <v>-85000</v>
      </c>
      <c r="N57" s="516">
        <f>SUM(J57:M57)</f>
        <v>0</v>
      </c>
    </row>
    <row r="58" spans="1:14" ht="15">
      <c r="A58" s="687" t="s">
        <v>129</v>
      </c>
      <c r="B58" s="687"/>
      <c r="C58" s="687"/>
      <c r="D58" s="2">
        <v>92</v>
      </c>
      <c r="E58" s="32">
        <v>1200000</v>
      </c>
      <c r="F58" s="18">
        <v>698000</v>
      </c>
      <c r="G58" s="36"/>
      <c r="H58" s="18"/>
      <c r="I58" s="516">
        <f>SUM(E58:H58)</f>
        <v>1898000</v>
      </c>
      <c r="J58" s="32">
        <v>2153000</v>
      </c>
      <c r="K58" s="18">
        <v>758000</v>
      </c>
      <c r="L58" s="36"/>
      <c r="M58" s="18"/>
      <c r="N58" s="516">
        <v>2214734</v>
      </c>
    </row>
    <row r="59" spans="1:14" ht="15">
      <c r="A59" s="687" t="s">
        <v>130</v>
      </c>
      <c r="B59" s="687"/>
      <c r="C59" s="687"/>
      <c r="D59" s="2">
        <v>93</v>
      </c>
      <c r="E59" s="18"/>
      <c r="F59" s="18"/>
      <c r="G59" s="18"/>
      <c r="H59" s="18"/>
      <c r="I59" s="31">
        <f>SUM(E59:H59)</f>
        <v>0</v>
      </c>
      <c r="J59" s="18"/>
      <c r="K59" s="18"/>
      <c r="L59" s="18"/>
      <c r="M59" s="18"/>
      <c r="N59" s="516">
        <f>SUM(J59:M59)</f>
        <v>0</v>
      </c>
    </row>
    <row r="60" spans="1:14" ht="15">
      <c r="A60" s="687" t="s">
        <v>97</v>
      </c>
      <c r="B60" s="687"/>
      <c r="C60" s="687"/>
      <c r="D60" s="3">
        <v>94</v>
      </c>
      <c r="E60" s="18"/>
      <c r="F60" s="18">
        <v>0</v>
      </c>
      <c r="G60" s="18"/>
      <c r="H60" s="36"/>
      <c r="I60" s="31">
        <f>SUM(E60:H60)</f>
        <v>0</v>
      </c>
      <c r="J60" s="18">
        <v>3232</v>
      </c>
      <c r="K60" s="18"/>
      <c r="L60" s="18"/>
      <c r="M60" s="36"/>
      <c r="N60" s="516">
        <v>0</v>
      </c>
    </row>
    <row r="61" spans="1:14" ht="15">
      <c r="A61" s="690" t="s">
        <v>98</v>
      </c>
      <c r="B61" s="690"/>
      <c r="C61" s="690"/>
      <c r="D61" s="1">
        <v>100</v>
      </c>
      <c r="E61" s="31">
        <f aca="true" t="shared" si="11" ref="E61:N61">SUM(E63:E67)</f>
        <v>1114586</v>
      </c>
      <c r="F61" s="31">
        <f t="shared" si="11"/>
        <v>781730</v>
      </c>
      <c r="G61" s="31">
        <f t="shared" si="11"/>
        <v>0</v>
      </c>
      <c r="H61" s="31">
        <f t="shared" si="11"/>
        <v>0</v>
      </c>
      <c r="I61" s="31">
        <f t="shared" si="11"/>
        <v>1896316</v>
      </c>
      <c r="J61" s="31">
        <f t="shared" si="11"/>
        <v>2112874</v>
      </c>
      <c r="K61" s="31">
        <f t="shared" si="11"/>
        <v>526000</v>
      </c>
      <c r="L61" s="31">
        <f t="shared" si="11"/>
        <v>0</v>
      </c>
      <c r="M61" s="31">
        <f t="shared" si="11"/>
        <v>0</v>
      </c>
      <c r="N61" s="31">
        <f t="shared" si="11"/>
        <v>2171727</v>
      </c>
    </row>
    <row r="62" spans="1:14" ht="15">
      <c r="A62" s="692" t="s">
        <v>91</v>
      </c>
      <c r="B62" s="692"/>
      <c r="C62" s="692"/>
      <c r="D62" s="2"/>
      <c r="E62" s="33"/>
      <c r="F62" s="33"/>
      <c r="G62" s="33"/>
      <c r="H62" s="33"/>
      <c r="I62" s="31">
        <f aca="true" t="shared" si="12" ref="I62:I67">SUM(E62:H62)</f>
        <v>0</v>
      </c>
      <c r="J62" s="33"/>
      <c r="K62" s="33"/>
      <c r="L62" s="33"/>
      <c r="M62" s="33"/>
      <c r="N62" s="516">
        <f>SUM(J62:M62)</f>
        <v>0</v>
      </c>
    </row>
    <row r="63" spans="1:14" ht="15">
      <c r="A63" s="687" t="s">
        <v>131</v>
      </c>
      <c r="B63" s="687"/>
      <c r="C63" s="687"/>
      <c r="D63" s="2">
        <v>101</v>
      </c>
      <c r="E63" s="32">
        <v>1029000</v>
      </c>
      <c r="F63" s="18">
        <v>781730</v>
      </c>
      <c r="G63" s="18"/>
      <c r="H63" s="36"/>
      <c r="I63" s="516">
        <f t="shared" si="12"/>
        <v>1810730</v>
      </c>
      <c r="J63" s="32">
        <v>1940000</v>
      </c>
      <c r="K63" s="18">
        <v>526000</v>
      </c>
      <c r="L63" s="18"/>
      <c r="M63" s="36"/>
      <c r="N63" s="516">
        <v>2064000</v>
      </c>
    </row>
    <row r="64" spans="1:14" ht="15">
      <c r="A64" s="687" t="s">
        <v>102</v>
      </c>
      <c r="B64" s="687"/>
      <c r="C64" s="687"/>
      <c r="D64" s="2">
        <v>102</v>
      </c>
      <c r="E64" s="32">
        <f>11216+73400</f>
        <v>84616</v>
      </c>
      <c r="F64" s="32"/>
      <c r="G64" s="18"/>
      <c r="H64" s="18"/>
      <c r="I64" s="516">
        <f t="shared" si="12"/>
        <v>84616</v>
      </c>
      <c r="J64" s="32">
        <v>168376</v>
      </c>
      <c r="K64" s="32"/>
      <c r="L64" s="18"/>
      <c r="M64" s="18"/>
      <c r="N64" s="516">
        <v>88187</v>
      </c>
    </row>
    <row r="65" spans="1:14" ht="15">
      <c r="A65" s="687" t="s">
        <v>132</v>
      </c>
      <c r="B65" s="687"/>
      <c r="C65" s="687"/>
      <c r="D65" s="2">
        <v>103</v>
      </c>
      <c r="E65" s="18"/>
      <c r="F65" s="18"/>
      <c r="G65" s="18"/>
      <c r="H65" s="18"/>
      <c r="I65" s="516">
        <f t="shared" si="12"/>
        <v>0</v>
      </c>
      <c r="J65" s="18"/>
      <c r="K65" s="18"/>
      <c r="L65" s="18"/>
      <c r="M65" s="18"/>
      <c r="N65" s="516">
        <f>SUM(J65:M65)</f>
        <v>0</v>
      </c>
    </row>
    <row r="66" spans="1:14" ht="15">
      <c r="A66" s="687" t="s">
        <v>133</v>
      </c>
      <c r="B66" s="687"/>
      <c r="C66" s="687"/>
      <c r="D66" s="2">
        <v>104</v>
      </c>
      <c r="E66" s="18"/>
      <c r="F66" s="18"/>
      <c r="G66" s="18"/>
      <c r="H66" s="18"/>
      <c r="I66" s="516">
        <f t="shared" si="12"/>
        <v>0</v>
      </c>
      <c r="J66" s="18"/>
      <c r="K66" s="18"/>
      <c r="L66" s="18"/>
      <c r="M66" s="18"/>
      <c r="N66" s="516">
        <f>SUM(J66:M66)</f>
        <v>0</v>
      </c>
    </row>
    <row r="67" spans="1:14" ht="15">
      <c r="A67" s="693" t="s">
        <v>134</v>
      </c>
      <c r="B67" s="693"/>
      <c r="C67" s="693"/>
      <c r="D67" s="2">
        <v>105</v>
      </c>
      <c r="E67" s="18">
        <v>970</v>
      </c>
      <c r="F67" s="18"/>
      <c r="G67" s="18"/>
      <c r="H67" s="18"/>
      <c r="I67" s="516">
        <f t="shared" si="12"/>
        <v>970</v>
      </c>
      <c r="J67" s="18">
        <v>4498</v>
      </c>
      <c r="K67" s="18"/>
      <c r="L67" s="18"/>
      <c r="M67" s="18"/>
      <c r="N67" s="516">
        <v>19540</v>
      </c>
    </row>
    <row r="68" spans="1:14" ht="27" customHeight="1">
      <c r="A68" s="689" t="s">
        <v>135</v>
      </c>
      <c r="B68" s="689"/>
      <c r="C68" s="689"/>
      <c r="D68" s="1">
        <v>110</v>
      </c>
      <c r="E68" s="31">
        <f aca="true" t="shared" si="13" ref="E68:N68">E55-E61</f>
        <v>85414</v>
      </c>
      <c r="F68" s="31">
        <f t="shared" si="13"/>
        <v>-83730</v>
      </c>
      <c r="G68" s="31">
        <f t="shared" si="13"/>
        <v>0</v>
      </c>
      <c r="H68" s="31">
        <f t="shared" si="13"/>
        <v>0</v>
      </c>
      <c r="I68" s="31">
        <f t="shared" si="13"/>
        <v>1684</v>
      </c>
      <c r="J68" s="31">
        <f t="shared" si="13"/>
        <v>43358</v>
      </c>
      <c r="K68" s="31">
        <f t="shared" si="13"/>
        <v>317000</v>
      </c>
      <c r="L68" s="31">
        <f t="shared" si="13"/>
        <v>0</v>
      </c>
      <c r="M68" s="31">
        <f t="shared" si="13"/>
        <v>-85000</v>
      </c>
      <c r="N68" s="31">
        <f t="shared" si="13"/>
        <v>43007</v>
      </c>
    </row>
    <row r="69" spans="1:14" ht="15">
      <c r="A69" s="689" t="s">
        <v>136</v>
      </c>
      <c r="B69" s="689"/>
      <c r="C69" s="689"/>
      <c r="D69" s="1">
        <v>120</v>
      </c>
      <c r="E69" s="31">
        <f>4-1-2</f>
        <v>1</v>
      </c>
      <c r="F69" s="31"/>
      <c r="G69" s="31"/>
      <c r="H69" s="31"/>
      <c r="I69" s="31">
        <f>SUM(E69:H69)</f>
        <v>1</v>
      </c>
      <c r="J69" s="31">
        <v>-251</v>
      </c>
      <c r="K69" s="31"/>
      <c r="L69" s="31"/>
      <c r="M69" s="31"/>
      <c r="N69" s="517">
        <v>0</v>
      </c>
    </row>
    <row r="70" spans="1:14" ht="26.25" customHeight="1">
      <c r="A70" s="689" t="s">
        <v>137</v>
      </c>
      <c r="B70" s="689"/>
      <c r="C70" s="689"/>
      <c r="D70" s="1">
        <v>130</v>
      </c>
      <c r="E70" s="31">
        <f>E24+E53+E68+E69</f>
        <v>-474</v>
      </c>
      <c r="F70" s="31">
        <f aca="true" t="shared" si="14" ref="F70:M70">F24+F53+F68+F69</f>
        <v>-30587</v>
      </c>
      <c r="G70" s="31">
        <f t="shared" si="14"/>
        <v>-2898822</v>
      </c>
      <c r="H70" s="31">
        <f t="shared" si="14"/>
        <v>2898822</v>
      </c>
      <c r="I70" s="31">
        <f t="shared" si="14"/>
        <v>-31061</v>
      </c>
      <c r="J70" s="31">
        <f t="shared" si="14"/>
        <v>-95093</v>
      </c>
      <c r="K70" s="31">
        <f t="shared" si="14"/>
        <v>37342</v>
      </c>
      <c r="L70" s="31">
        <f t="shared" si="14"/>
        <v>-6112434</v>
      </c>
      <c r="M70" s="31">
        <f t="shared" si="14"/>
        <v>6073495</v>
      </c>
      <c r="N70" s="517">
        <f>N24+N53+N68+N69</f>
        <v>-53820</v>
      </c>
    </row>
    <row r="71" spans="1:14" ht="26.25" customHeight="1">
      <c r="A71" s="689" t="s">
        <v>138</v>
      </c>
      <c r="B71" s="689"/>
      <c r="C71" s="689"/>
      <c r="D71" s="1">
        <v>140</v>
      </c>
      <c r="E71" s="37">
        <v>11219</v>
      </c>
      <c r="F71" s="37">
        <v>101393</v>
      </c>
      <c r="G71" s="37"/>
      <c r="H71" s="37"/>
      <c r="I71" s="37">
        <f>SUM(E71:F71)</f>
        <v>112612</v>
      </c>
      <c r="J71" s="37">
        <v>106093</v>
      </c>
      <c r="K71" s="37">
        <v>105267</v>
      </c>
      <c r="L71" s="37"/>
      <c r="M71" s="37"/>
      <c r="N71" s="517">
        <v>147593</v>
      </c>
    </row>
    <row r="72" spans="1:14" ht="24.75" customHeight="1">
      <c r="A72" s="689" t="s">
        <v>139</v>
      </c>
      <c r="B72" s="689"/>
      <c r="C72" s="689"/>
      <c r="D72" s="1">
        <v>150</v>
      </c>
      <c r="E72" s="38">
        <v>10747</v>
      </c>
      <c r="F72" s="38">
        <v>70806</v>
      </c>
      <c r="G72" s="38"/>
      <c r="H72" s="38"/>
      <c r="I72" s="37">
        <f>SUM(E72:F72)</f>
        <v>81553</v>
      </c>
      <c r="J72" s="38">
        <v>11000</v>
      </c>
      <c r="K72" s="38">
        <v>142609</v>
      </c>
      <c r="L72" s="38"/>
      <c r="M72" s="38"/>
      <c r="N72" s="517">
        <v>93773</v>
      </c>
    </row>
    <row r="73" spans="1:14" ht="15">
      <c r="A73" s="4"/>
      <c r="B73" s="4"/>
      <c r="C73" s="4"/>
      <c r="D73" s="5"/>
      <c r="E73" s="6">
        <f>E71-E72</f>
        <v>472</v>
      </c>
      <c r="F73" s="6">
        <f>F71-F72</f>
        <v>30587</v>
      </c>
      <c r="G73" s="6"/>
      <c r="H73" s="6"/>
      <c r="I73" s="6"/>
      <c r="J73" s="6"/>
      <c r="K73" s="6"/>
      <c r="L73" s="6"/>
      <c r="M73" s="6"/>
      <c r="N73" s="6"/>
    </row>
    <row r="74" spans="1:14" ht="15.75">
      <c r="A74" s="121" t="s">
        <v>848</v>
      </c>
      <c r="B74" s="121"/>
      <c r="C74" s="121"/>
      <c r="D74" s="173"/>
      <c r="E74" s="8"/>
      <c r="F74" s="8"/>
      <c r="G74" s="8"/>
      <c r="H74" s="8"/>
      <c r="I74" s="8"/>
      <c r="J74" s="8"/>
      <c r="K74" s="8"/>
      <c r="L74" s="8"/>
      <c r="M74" s="8"/>
      <c r="N74" s="9"/>
    </row>
    <row r="75" spans="1:14" ht="15.75">
      <c r="A75" s="121"/>
      <c r="B75" s="121"/>
      <c r="C75" s="121"/>
      <c r="D75" s="172"/>
      <c r="E75" s="410"/>
      <c r="F75" s="410"/>
      <c r="G75" s="410"/>
      <c r="H75" s="410"/>
      <c r="I75" s="410"/>
      <c r="J75" s="410"/>
      <c r="K75" s="410"/>
      <c r="L75" s="410"/>
      <c r="M75" s="410"/>
      <c r="N75" s="519"/>
    </row>
    <row r="76" spans="1:14" ht="15.75">
      <c r="A76" s="121" t="s">
        <v>396</v>
      </c>
      <c r="B76" s="121"/>
      <c r="C76" s="121"/>
      <c r="D76" s="410"/>
      <c r="E76" s="520"/>
      <c r="F76" s="410"/>
      <c r="G76" s="410"/>
      <c r="H76" s="410"/>
      <c r="I76" s="410"/>
      <c r="J76" s="410"/>
      <c r="K76" s="410"/>
      <c r="L76" s="410"/>
      <c r="M76" s="410"/>
      <c r="N76" s="9"/>
    </row>
    <row r="77" spans="1:14" ht="15">
      <c r="A77" s="170"/>
      <c r="B77" s="5"/>
      <c r="C77" s="173"/>
      <c r="D77" s="173"/>
      <c r="E77" s="9"/>
      <c r="F77" s="9"/>
      <c r="G77" s="9"/>
      <c r="H77" s="9"/>
      <c r="I77" s="9"/>
      <c r="J77" s="9"/>
      <c r="K77" s="9"/>
      <c r="L77" s="9"/>
      <c r="M77" s="9"/>
      <c r="N77" s="9"/>
    </row>
    <row r="78" spans="1:14" ht="15">
      <c r="A78" s="171"/>
      <c r="B78" s="172"/>
      <c r="C78" s="172"/>
      <c r="D78" s="172"/>
      <c r="E78" s="410"/>
      <c r="F78" s="410"/>
      <c r="G78" s="410"/>
      <c r="H78" s="410"/>
      <c r="I78" s="410"/>
      <c r="J78" s="410"/>
      <c r="K78" s="410"/>
      <c r="L78" s="410"/>
      <c r="M78" s="410"/>
      <c r="N78" s="519"/>
    </row>
    <row r="79" spans="1:14" ht="15">
      <c r="A79" s="5"/>
      <c r="B79" s="5"/>
      <c r="C79" s="5"/>
      <c r="D79" s="5"/>
      <c r="E79" s="5"/>
      <c r="F79" s="5"/>
      <c r="G79" s="5"/>
      <c r="H79" s="5"/>
      <c r="I79" s="5"/>
      <c r="J79" s="5"/>
      <c r="K79" s="5"/>
      <c r="L79" s="5"/>
      <c r="M79" s="5"/>
      <c r="N79" s="5"/>
    </row>
  </sheetData>
  <sheetProtection password="EA37" sheet="1" objects="1" scenarios="1" selectLockedCells="1" selectUnlockedCells="1"/>
  <mergeCells count="71">
    <mergeCell ref="A69:C69"/>
    <mergeCell ref="A51:C51"/>
    <mergeCell ref="A25:D25"/>
    <mergeCell ref="A54:D54"/>
    <mergeCell ref="A58:C58"/>
    <mergeCell ref="A71:C71"/>
    <mergeCell ref="A62:C62"/>
    <mergeCell ref="A63:C63"/>
    <mergeCell ref="A64:C64"/>
    <mergeCell ref="A61:C61"/>
    <mergeCell ref="A72:C72"/>
    <mergeCell ref="A65:C65"/>
    <mergeCell ref="A66:C66"/>
    <mergeCell ref="A67:C67"/>
    <mergeCell ref="A68:C68"/>
    <mergeCell ref="A47:C47"/>
    <mergeCell ref="A49:C49"/>
    <mergeCell ref="A70:C70"/>
    <mergeCell ref="A59:C59"/>
    <mergeCell ref="A60:C60"/>
    <mergeCell ref="A50:C50"/>
    <mergeCell ref="A40:C40"/>
    <mergeCell ref="A52:C52"/>
    <mergeCell ref="A53:C53"/>
    <mergeCell ref="A55:C55"/>
    <mergeCell ref="A56:C56"/>
    <mergeCell ref="A45:C45"/>
    <mergeCell ref="A57:C57"/>
    <mergeCell ref="A42:C42"/>
    <mergeCell ref="A43:C43"/>
    <mergeCell ref="A44:C44"/>
    <mergeCell ref="A46:C46"/>
    <mergeCell ref="A30:C30"/>
    <mergeCell ref="A48:C48"/>
    <mergeCell ref="A32:C32"/>
    <mergeCell ref="A33:C33"/>
    <mergeCell ref="A34:C34"/>
    <mergeCell ref="A37:C37"/>
    <mergeCell ref="A38:C38"/>
    <mergeCell ref="A39:C39"/>
    <mergeCell ref="A19:C19"/>
    <mergeCell ref="A41:C41"/>
    <mergeCell ref="A21:C21"/>
    <mergeCell ref="A22:C22"/>
    <mergeCell ref="A23:C23"/>
    <mergeCell ref="A1:N1"/>
    <mergeCell ref="A2:N2"/>
    <mergeCell ref="A3:N3"/>
    <mergeCell ref="A5:C5"/>
    <mergeCell ref="A7:C7"/>
    <mergeCell ref="A35:C35"/>
    <mergeCell ref="A6:D6"/>
    <mergeCell ref="A20:C20"/>
    <mergeCell ref="A12:C12"/>
    <mergeCell ref="A8:C8"/>
    <mergeCell ref="A9:C9"/>
    <mergeCell ref="A36:C36"/>
    <mergeCell ref="A26:C26"/>
    <mergeCell ref="A27:C27"/>
    <mergeCell ref="A28:C28"/>
    <mergeCell ref="A29:C29"/>
    <mergeCell ref="A10:C10"/>
    <mergeCell ref="A15:C15"/>
    <mergeCell ref="A16:C16"/>
    <mergeCell ref="A17:C17"/>
    <mergeCell ref="A18:C18"/>
    <mergeCell ref="A31:C31"/>
    <mergeCell ref="A11:C11"/>
    <mergeCell ref="A24:C24"/>
    <mergeCell ref="A13:C13"/>
    <mergeCell ref="A14:C14"/>
  </mergeCells>
  <printOptions/>
  <pageMargins left="0.7" right="0.7" top="0.75" bottom="0.75" header="0.3" footer="0.3"/>
  <pageSetup horizontalDpi="600" verticalDpi="600" orientation="portrait" paperSize="9" scale="85" r:id="rId1"/>
  <rowBreaks count="1" manualBreakCount="1">
    <brk id="44" max="13" man="1"/>
  </rowBreaks>
</worksheet>
</file>

<file path=xl/worksheets/sheet5.xml><?xml version="1.0" encoding="utf-8"?>
<worksheet xmlns="http://schemas.openxmlformats.org/spreadsheetml/2006/main" xmlns:r="http://schemas.openxmlformats.org/officeDocument/2006/relationships">
  <dimension ref="A1:R79"/>
  <sheetViews>
    <sheetView view="pageBreakPreview" zoomScale="60" zoomScalePageLayoutView="0" workbookViewId="0" topLeftCell="A1">
      <selection activeCell="L28" sqref="L28"/>
    </sheetView>
  </sheetViews>
  <sheetFormatPr defaultColWidth="9.140625" defaultRowHeight="15"/>
  <cols>
    <col min="1" max="2" width="9.140625" style="411" customWidth="1"/>
    <col min="3" max="3" width="43.7109375" style="411" customWidth="1"/>
    <col min="4" max="4" width="11.421875" style="411" customWidth="1"/>
    <col min="5" max="5" width="15.8515625" style="411" customWidth="1"/>
    <col min="6" max="6" width="14.57421875" style="411" hidden="1" customWidth="1"/>
    <col min="7" max="7" width="14.7109375" style="411" hidden="1" customWidth="1"/>
    <col min="8" max="8" width="12.8515625" style="411" hidden="1" customWidth="1"/>
    <col min="9" max="10" width="11.421875" style="411" hidden="1" customWidth="1"/>
    <col min="11" max="11" width="11.7109375" style="411" hidden="1" customWidth="1"/>
    <col min="12" max="12" width="15.7109375" style="411" customWidth="1"/>
    <col min="13" max="17" width="11.421875" style="411" hidden="1" customWidth="1"/>
    <col min="18" max="18" width="15.00390625" style="411" hidden="1" customWidth="1"/>
    <col min="19" max="19" width="11.421875" style="411" customWidth="1"/>
    <col min="20" max="16384" width="9.140625" style="411" customWidth="1"/>
  </cols>
  <sheetData>
    <row r="1" spans="1:18" ht="18.75">
      <c r="A1" s="694" t="s">
        <v>0</v>
      </c>
      <c r="B1" s="694"/>
      <c r="C1" s="694"/>
      <c r="D1" s="694"/>
      <c r="E1" s="694"/>
      <c r="F1" s="694"/>
      <c r="G1" s="694"/>
      <c r="H1" s="694"/>
      <c r="I1" s="694"/>
      <c r="J1" s="694"/>
      <c r="K1" s="694"/>
      <c r="L1" s="694"/>
      <c r="M1" s="694"/>
      <c r="N1" s="694"/>
      <c r="O1" s="694"/>
      <c r="P1" s="694"/>
      <c r="Q1" s="694"/>
      <c r="R1" s="694"/>
    </row>
    <row r="2" spans="1:18" ht="34.5" customHeight="1">
      <c r="A2" s="695" t="s">
        <v>400</v>
      </c>
      <c r="B2" s="695"/>
      <c r="C2" s="695"/>
      <c r="D2" s="695"/>
      <c r="E2" s="695"/>
      <c r="F2" s="695"/>
      <c r="G2" s="695"/>
      <c r="H2" s="695"/>
      <c r="I2" s="695"/>
      <c r="J2" s="695"/>
      <c r="K2" s="695"/>
      <c r="L2" s="695"/>
      <c r="M2" s="695"/>
      <c r="N2" s="695"/>
      <c r="O2" s="695"/>
      <c r="P2" s="695"/>
      <c r="Q2" s="695"/>
      <c r="R2" s="695"/>
    </row>
    <row r="3" spans="1:18" ht="15">
      <c r="A3" s="649" t="s">
        <v>663</v>
      </c>
      <c r="B3" s="649"/>
      <c r="C3" s="649"/>
      <c r="D3" s="649"/>
      <c r="E3" s="649"/>
      <c r="F3" s="649"/>
      <c r="G3" s="649"/>
      <c r="H3" s="649"/>
      <c r="I3" s="649"/>
      <c r="J3" s="649"/>
      <c r="K3" s="649"/>
      <c r="L3" s="649"/>
      <c r="M3" s="649"/>
      <c r="N3" s="649"/>
      <c r="O3" s="649"/>
      <c r="P3" s="649"/>
      <c r="Q3" s="649"/>
      <c r="R3" s="649"/>
    </row>
    <row r="4" spans="1:18" ht="27" customHeight="1" thickBot="1">
      <c r="A4" s="512"/>
      <c r="B4" s="512"/>
      <c r="C4" s="512"/>
      <c r="D4" s="179"/>
      <c r="E4" s="179"/>
      <c r="F4" s="179"/>
      <c r="G4" s="179"/>
      <c r="H4" s="179"/>
      <c r="I4" s="179"/>
      <c r="J4" s="179"/>
      <c r="K4" s="513"/>
      <c r="L4" s="560" t="s">
        <v>813</v>
      </c>
      <c r="M4" s="514"/>
      <c r="N4" s="514"/>
      <c r="O4" s="514"/>
      <c r="P4" s="514"/>
      <c r="Q4" s="514"/>
      <c r="R4" s="515" t="s">
        <v>1</v>
      </c>
    </row>
    <row r="5" spans="1:18" ht="46.5" customHeight="1">
      <c r="A5" s="650" t="s">
        <v>2</v>
      </c>
      <c r="B5" s="651"/>
      <c r="C5" s="652"/>
      <c r="D5" s="529" t="s">
        <v>3</v>
      </c>
      <c r="E5" s="469" t="s">
        <v>647</v>
      </c>
      <c r="F5" s="469" t="s">
        <v>648</v>
      </c>
      <c r="G5" s="469" t="s">
        <v>649</v>
      </c>
      <c r="H5" s="469" t="s">
        <v>650</v>
      </c>
      <c r="I5" s="470" t="s">
        <v>651</v>
      </c>
      <c r="J5" s="472" t="s">
        <v>652</v>
      </c>
      <c r="K5" s="488" t="s">
        <v>398</v>
      </c>
      <c r="L5" s="488" t="s">
        <v>655</v>
      </c>
      <c r="M5" s="488" t="s">
        <v>656</v>
      </c>
      <c r="N5" s="488" t="s">
        <v>657</v>
      </c>
      <c r="O5" s="488" t="s">
        <v>658</v>
      </c>
      <c r="P5" s="488" t="s">
        <v>659</v>
      </c>
      <c r="Q5" s="488" t="s">
        <v>660</v>
      </c>
      <c r="R5" s="488" t="s">
        <v>399</v>
      </c>
    </row>
    <row r="6" spans="1:18" ht="15">
      <c r="A6" s="696" t="s">
        <v>89</v>
      </c>
      <c r="B6" s="697"/>
      <c r="C6" s="697"/>
      <c r="D6" s="698"/>
      <c r="E6" s="407"/>
      <c r="F6" s="407"/>
      <c r="G6" s="407"/>
      <c r="H6" s="407"/>
      <c r="I6" s="407"/>
      <c r="J6" s="407"/>
      <c r="K6" s="407"/>
      <c r="L6" s="407"/>
      <c r="M6" s="407"/>
      <c r="N6" s="407"/>
      <c r="O6" s="407"/>
      <c r="P6" s="407"/>
      <c r="Q6" s="407"/>
      <c r="R6" s="407"/>
    </row>
    <row r="7" spans="1:18" ht="15">
      <c r="A7" s="690" t="s">
        <v>90</v>
      </c>
      <c r="B7" s="690"/>
      <c r="C7" s="690"/>
      <c r="D7" s="1">
        <v>10</v>
      </c>
      <c r="E7" s="31">
        <f>E9+E14</f>
        <v>5543628</v>
      </c>
      <c r="F7" s="31">
        <f>SUM(F9:F14)</f>
        <v>8305425</v>
      </c>
      <c r="G7" s="31">
        <f aca="true" t="shared" si="0" ref="G7:R7">SUM(G9:G14)</f>
        <v>0</v>
      </c>
      <c r="H7" s="31">
        <f t="shared" si="0"/>
        <v>-5474617</v>
      </c>
      <c r="I7" s="31">
        <f t="shared" si="0"/>
        <v>-88000</v>
      </c>
      <c r="J7" s="31">
        <f t="shared" si="0"/>
        <v>-1300</v>
      </c>
      <c r="K7" s="31">
        <f t="shared" si="0"/>
        <v>8285136</v>
      </c>
      <c r="L7" s="31">
        <f t="shared" si="0"/>
        <v>6459927</v>
      </c>
      <c r="M7" s="31">
        <f t="shared" si="0"/>
        <v>8697147</v>
      </c>
      <c r="N7" s="31">
        <f t="shared" si="0"/>
        <v>133358</v>
      </c>
      <c r="O7" s="31">
        <f t="shared" si="0"/>
        <v>-6363714</v>
      </c>
      <c r="P7" s="31">
        <f t="shared" si="0"/>
        <v>-205219</v>
      </c>
      <c r="Q7" s="31">
        <f t="shared" si="0"/>
        <v>-43280</v>
      </c>
      <c r="R7" s="31">
        <f t="shared" si="0"/>
        <v>8678219</v>
      </c>
    </row>
    <row r="8" spans="1:18" ht="15">
      <c r="A8" s="692" t="s">
        <v>91</v>
      </c>
      <c r="B8" s="692"/>
      <c r="C8" s="692"/>
      <c r="D8" s="2"/>
      <c r="E8" s="18"/>
      <c r="F8" s="18"/>
      <c r="G8" s="18"/>
      <c r="H8" s="18"/>
      <c r="I8" s="18"/>
      <c r="J8" s="18"/>
      <c r="K8" s="516"/>
      <c r="L8" s="18"/>
      <c r="M8" s="18"/>
      <c r="N8" s="18"/>
      <c r="O8" s="18"/>
      <c r="P8" s="18"/>
      <c r="Q8" s="18"/>
      <c r="R8" s="516"/>
    </row>
    <row r="9" spans="1:18" ht="15">
      <c r="A9" s="687" t="s">
        <v>92</v>
      </c>
      <c r="B9" s="687"/>
      <c r="C9" s="687"/>
      <c r="D9" s="2">
        <v>11</v>
      </c>
      <c r="E9" s="32">
        <v>5535226</v>
      </c>
      <c r="F9" s="18">
        <v>8299709</v>
      </c>
      <c r="G9" s="18"/>
      <c r="H9" s="32">
        <f>-5472200-2417</f>
        <v>-5474617</v>
      </c>
      <c r="I9" s="18">
        <v>-88000</v>
      </c>
      <c r="J9" s="18">
        <v>-1300</v>
      </c>
      <c r="K9" s="516">
        <f aca="true" t="shared" si="1" ref="K9:K16">SUM(E9:J9)</f>
        <v>8271018</v>
      </c>
      <c r="L9" s="32">
        <v>6444801</v>
      </c>
      <c r="M9" s="18">
        <v>8687453</v>
      </c>
      <c r="N9" s="18">
        <v>133358</v>
      </c>
      <c r="O9" s="32">
        <f>-6363390-324</f>
        <v>-6363714</v>
      </c>
      <c r="P9" s="18">
        <f>-123000-82219</f>
        <v>-205219</v>
      </c>
      <c r="Q9" s="18">
        <v>-43280</v>
      </c>
      <c r="R9" s="516">
        <f aca="true" t="shared" si="2" ref="R9:R14">SUM(L9:Q9)</f>
        <v>8653399</v>
      </c>
    </row>
    <row r="10" spans="1:18" ht="15">
      <c r="A10" s="687" t="s">
        <v>93</v>
      </c>
      <c r="B10" s="687"/>
      <c r="C10" s="687"/>
      <c r="D10" s="2">
        <v>12</v>
      </c>
      <c r="E10" s="18"/>
      <c r="F10" s="18">
        <v>4725</v>
      </c>
      <c r="G10" s="18"/>
      <c r="H10" s="18"/>
      <c r="I10" s="18"/>
      <c r="J10" s="18"/>
      <c r="K10" s="516">
        <f t="shared" si="1"/>
        <v>4725</v>
      </c>
      <c r="L10" s="18"/>
      <c r="M10" s="18">
        <v>7737</v>
      </c>
      <c r="N10" s="18"/>
      <c r="O10" s="18"/>
      <c r="P10" s="18"/>
      <c r="Q10" s="18"/>
      <c r="R10" s="516">
        <f t="shared" si="2"/>
        <v>7737</v>
      </c>
    </row>
    <row r="11" spans="1:18" ht="15">
      <c r="A11" s="687" t="s">
        <v>94</v>
      </c>
      <c r="B11" s="687"/>
      <c r="C11" s="687"/>
      <c r="D11" s="2">
        <v>13</v>
      </c>
      <c r="E11" s="18"/>
      <c r="F11" s="18"/>
      <c r="G11" s="18"/>
      <c r="H11" s="18"/>
      <c r="I11" s="18"/>
      <c r="J11" s="18"/>
      <c r="K11" s="516">
        <f t="shared" si="1"/>
        <v>0</v>
      </c>
      <c r="L11" s="18"/>
      <c r="M11" s="18"/>
      <c r="N11" s="18"/>
      <c r="O11" s="18"/>
      <c r="P11" s="18"/>
      <c r="Q11" s="18"/>
      <c r="R11" s="516">
        <f t="shared" si="2"/>
        <v>0</v>
      </c>
    </row>
    <row r="12" spans="1:18" ht="15">
      <c r="A12" s="687" t="s">
        <v>95</v>
      </c>
      <c r="B12" s="687"/>
      <c r="C12" s="687"/>
      <c r="D12" s="2">
        <v>14</v>
      </c>
      <c r="E12" s="18"/>
      <c r="F12" s="18"/>
      <c r="G12" s="18"/>
      <c r="H12" s="18"/>
      <c r="I12" s="18"/>
      <c r="J12" s="18"/>
      <c r="K12" s="516">
        <f t="shared" si="1"/>
        <v>0</v>
      </c>
      <c r="L12" s="18"/>
      <c r="M12" s="18"/>
      <c r="N12" s="18"/>
      <c r="O12" s="18"/>
      <c r="P12" s="18"/>
      <c r="Q12" s="18"/>
      <c r="R12" s="516">
        <f t="shared" si="2"/>
        <v>0</v>
      </c>
    </row>
    <row r="13" spans="1:18" ht="15">
      <c r="A13" s="687" t="s">
        <v>96</v>
      </c>
      <c r="B13" s="687"/>
      <c r="C13" s="687"/>
      <c r="D13" s="2">
        <v>15</v>
      </c>
      <c r="E13" s="18"/>
      <c r="F13" s="18"/>
      <c r="G13" s="18"/>
      <c r="H13" s="18"/>
      <c r="I13" s="18"/>
      <c r="J13" s="18"/>
      <c r="K13" s="516">
        <f t="shared" si="1"/>
        <v>0</v>
      </c>
      <c r="L13" s="18"/>
      <c r="M13" s="18"/>
      <c r="N13" s="18"/>
      <c r="O13" s="18"/>
      <c r="P13" s="18"/>
      <c r="Q13" s="18"/>
      <c r="R13" s="516">
        <f t="shared" si="2"/>
        <v>0</v>
      </c>
    </row>
    <row r="14" spans="1:18" ht="15">
      <c r="A14" s="687" t="s">
        <v>97</v>
      </c>
      <c r="B14" s="687"/>
      <c r="C14" s="687"/>
      <c r="D14" s="2">
        <v>16</v>
      </c>
      <c r="E14" s="18">
        <v>8402</v>
      </c>
      <c r="F14" s="18">
        <v>991</v>
      </c>
      <c r="G14" s="18"/>
      <c r="H14" s="18"/>
      <c r="I14" s="18"/>
      <c r="J14" s="18"/>
      <c r="K14" s="516">
        <f t="shared" si="1"/>
        <v>9393</v>
      </c>
      <c r="L14" s="18">
        <v>15126</v>
      </c>
      <c r="M14" s="18">
        <v>1957</v>
      </c>
      <c r="N14" s="18"/>
      <c r="O14" s="18"/>
      <c r="P14" s="18"/>
      <c r="Q14" s="18"/>
      <c r="R14" s="516">
        <f t="shared" si="2"/>
        <v>17083</v>
      </c>
    </row>
    <row r="15" spans="1:18" ht="15">
      <c r="A15" s="690" t="s">
        <v>98</v>
      </c>
      <c r="B15" s="690"/>
      <c r="C15" s="690"/>
      <c r="D15" s="1">
        <v>20</v>
      </c>
      <c r="E15" s="31">
        <f aca="true" t="shared" si="3" ref="E15:R15">SUM(E17:E23)</f>
        <v>5219679</v>
      </c>
      <c r="F15" s="31">
        <f t="shared" si="3"/>
        <v>8435324</v>
      </c>
      <c r="G15" s="31">
        <f t="shared" si="3"/>
        <v>0</v>
      </c>
      <c r="H15" s="31">
        <f t="shared" si="3"/>
        <v>-89300</v>
      </c>
      <c r="I15" s="31">
        <f t="shared" si="3"/>
        <v>-5472200</v>
      </c>
      <c r="J15" s="31">
        <f t="shared" si="3"/>
        <v>-2417</v>
      </c>
      <c r="K15" s="31">
        <f t="shared" si="3"/>
        <v>8091086</v>
      </c>
      <c r="L15" s="31">
        <f t="shared" si="3"/>
        <v>5954456</v>
      </c>
      <c r="M15" s="31">
        <f t="shared" si="3"/>
        <v>8782207</v>
      </c>
      <c r="N15" s="31">
        <f t="shared" si="3"/>
        <v>135591</v>
      </c>
      <c r="O15" s="31">
        <f t="shared" si="3"/>
        <v>-166280</v>
      </c>
      <c r="P15" s="31">
        <f t="shared" si="3"/>
        <v>-6363714</v>
      </c>
      <c r="Q15" s="31">
        <f t="shared" si="3"/>
        <v>-82219</v>
      </c>
      <c r="R15" s="31">
        <f t="shared" si="3"/>
        <v>8260041</v>
      </c>
    </row>
    <row r="16" spans="1:18" ht="15">
      <c r="A16" s="692" t="s">
        <v>91</v>
      </c>
      <c r="B16" s="692"/>
      <c r="C16" s="692"/>
      <c r="D16" s="2"/>
      <c r="E16" s="18"/>
      <c r="F16" s="18"/>
      <c r="G16" s="18"/>
      <c r="H16" s="18"/>
      <c r="I16" s="18"/>
      <c r="J16" s="18"/>
      <c r="K16" s="516">
        <f t="shared" si="1"/>
        <v>0</v>
      </c>
      <c r="L16" s="18"/>
      <c r="M16" s="18"/>
      <c r="N16" s="18"/>
      <c r="O16" s="18"/>
      <c r="P16" s="18"/>
      <c r="Q16" s="18"/>
      <c r="R16" s="31">
        <v>0</v>
      </c>
    </row>
    <row r="17" spans="1:18" ht="15">
      <c r="A17" s="693" t="s">
        <v>99</v>
      </c>
      <c r="B17" s="693"/>
      <c r="C17" s="693"/>
      <c r="D17" s="2">
        <v>21</v>
      </c>
      <c r="E17" s="32">
        <v>4042351</v>
      </c>
      <c r="F17" s="18">
        <v>7809675</v>
      </c>
      <c r="G17" s="18"/>
      <c r="H17" s="18">
        <f>-88000-1300</f>
        <v>-89300</v>
      </c>
      <c r="I17" s="32">
        <v>-5472200</v>
      </c>
      <c r="J17" s="18">
        <v>-2417</v>
      </c>
      <c r="K17" s="516">
        <f>SUM(E17:J17)</f>
        <v>6288109</v>
      </c>
      <c r="L17" s="32">
        <v>4779718</v>
      </c>
      <c r="M17" s="18">
        <v>8146863</v>
      </c>
      <c r="N17" s="18">
        <v>8228</v>
      </c>
      <c r="O17" s="18">
        <f>-123000-43280</f>
        <v>-166280</v>
      </c>
      <c r="P17" s="32">
        <f>O9</f>
        <v>-6363714</v>
      </c>
      <c r="Q17" s="18">
        <f>-82219</f>
        <v>-82219</v>
      </c>
      <c r="R17" s="516">
        <f aca="true" t="shared" si="4" ref="R17:R23">SUM(L17:Q17)</f>
        <v>6322596</v>
      </c>
    </row>
    <row r="18" spans="1:18" ht="15">
      <c r="A18" s="687" t="s">
        <v>100</v>
      </c>
      <c r="B18" s="687"/>
      <c r="C18" s="687"/>
      <c r="D18" s="2">
        <v>22</v>
      </c>
      <c r="E18" s="18" t="s">
        <v>494</v>
      </c>
      <c r="F18" s="18"/>
      <c r="G18" s="18"/>
      <c r="H18" s="18"/>
      <c r="I18" s="18"/>
      <c r="J18" s="18"/>
      <c r="K18" s="516">
        <f aca="true" t="shared" si="5" ref="K18:K23">SUM(E18:J18)</f>
        <v>0</v>
      </c>
      <c r="L18" s="18"/>
      <c r="M18" s="18"/>
      <c r="N18" s="18">
        <v>78130</v>
      </c>
      <c r="O18" s="18"/>
      <c r="P18" s="18"/>
      <c r="Q18" s="18"/>
      <c r="R18" s="516">
        <f t="shared" si="4"/>
        <v>78130</v>
      </c>
    </row>
    <row r="19" spans="1:18" ht="15">
      <c r="A19" s="687" t="s">
        <v>101</v>
      </c>
      <c r="B19" s="687"/>
      <c r="C19" s="687"/>
      <c r="D19" s="2">
        <v>23</v>
      </c>
      <c r="E19" s="32">
        <v>691671</v>
      </c>
      <c r="F19" s="18">
        <v>368743</v>
      </c>
      <c r="G19" s="18"/>
      <c r="H19" s="18"/>
      <c r="I19" s="18"/>
      <c r="J19" s="18"/>
      <c r="K19" s="516">
        <f t="shared" si="5"/>
        <v>1060414</v>
      </c>
      <c r="L19" s="32">
        <v>746075</v>
      </c>
      <c r="M19" s="18">
        <v>425391</v>
      </c>
      <c r="N19" s="18">
        <v>22252</v>
      </c>
      <c r="O19" s="18"/>
      <c r="P19" s="18"/>
      <c r="Q19" s="18"/>
      <c r="R19" s="516">
        <f t="shared" si="4"/>
        <v>1193718</v>
      </c>
    </row>
    <row r="20" spans="1:18" ht="15">
      <c r="A20" s="687" t="s">
        <v>102</v>
      </c>
      <c r="B20" s="687"/>
      <c r="C20" s="687"/>
      <c r="D20" s="3">
        <v>24</v>
      </c>
      <c r="E20" s="18"/>
      <c r="F20" s="18">
        <v>16992</v>
      </c>
      <c r="G20" s="18"/>
      <c r="H20" s="18"/>
      <c r="I20" s="18"/>
      <c r="J20" s="18"/>
      <c r="K20" s="516">
        <f t="shared" si="5"/>
        <v>16992</v>
      </c>
      <c r="L20" s="18"/>
      <c r="M20" s="18">
        <v>5863</v>
      </c>
      <c r="N20" s="18"/>
      <c r="O20" s="18"/>
      <c r="P20" s="18"/>
      <c r="Q20" s="18"/>
      <c r="R20" s="516">
        <f t="shared" si="4"/>
        <v>5863</v>
      </c>
    </row>
    <row r="21" spans="1:18" ht="15">
      <c r="A21" s="702" t="s">
        <v>103</v>
      </c>
      <c r="B21" s="702"/>
      <c r="C21" s="702"/>
      <c r="D21" s="2">
        <v>25</v>
      </c>
      <c r="E21" s="32">
        <v>14366</v>
      </c>
      <c r="F21" s="18"/>
      <c r="G21" s="18"/>
      <c r="H21" s="18"/>
      <c r="I21" s="18"/>
      <c r="J21" s="18"/>
      <c r="K21" s="516">
        <f t="shared" si="5"/>
        <v>14366</v>
      </c>
      <c r="L21" s="32">
        <v>157</v>
      </c>
      <c r="M21" s="18"/>
      <c r="N21" s="18"/>
      <c r="O21" s="18"/>
      <c r="P21" s="18"/>
      <c r="Q21" s="18"/>
      <c r="R21" s="516">
        <f t="shared" si="4"/>
        <v>157</v>
      </c>
    </row>
    <row r="22" spans="1:18" ht="15">
      <c r="A22" s="687" t="s">
        <v>104</v>
      </c>
      <c r="B22" s="687"/>
      <c r="C22" s="687"/>
      <c r="D22" s="2">
        <v>26</v>
      </c>
      <c r="E22" s="32">
        <v>428301</v>
      </c>
      <c r="F22" s="18">
        <v>198539</v>
      </c>
      <c r="G22" s="18"/>
      <c r="H22" s="18"/>
      <c r="I22" s="18"/>
      <c r="J22" s="18"/>
      <c r="K22" s="516">
        <f t="shared" si="5"/>
        <v>626840</v>
      </c>
      <c r="L22" s="32">
        <v>408865</v>
      </c>
      <c r="M22" s="18">
        <v>190284</v>
      </c>
      <c r="N22" s="18">
        <v>9219</v>
      </c>
      <c r="O22" s="18"/>
      <c r="P22" s="18"/>
      <c r="Q22" s="18"/>
      <c r="R22" s="516">
        <f t="shared" si="4"/>
        <v>608368</v>
      </c>
    </row>
    <row r="23" spans="1:18" ht="15">
      <c r="A23" s="687" t="s">
        <v>105</v>
      </c>
      <c r="B23" s="687"/>
      <c r="C23" s="687"/>
      <c r="D23" s="2">
        <v>27</v>
      </c>
      <c r="E23" s="32">
        <v>42990</v>
      </c>
      <c r="F23" s="18">
        <v>41375</v>
      </c>
      <c r="G23" s="18"/>
      <c r="H23" s="18"/>
      <c r="I23" s="18"/>
      <c r="J23" s="18"/>
      <c r="K23" s="516">
        <f t="shared" si="5"/>
        <v>84365</v>
      </c>
      <c r="L23" s="32">
        <v>19641</v>
      </c>
      <c r="M23" s="18">
        <v>13806</v>
      </c>
      <c r="N23" s="18">
        <v>17762</v>
      </c>
      <c r="O23" s="18"/>
      <c r="P23" s="18"/>
      <c r="Q23" s="18"/>
      <c r="R23" s="516">
        <f t="shared" si="4"/>
        <v>51209</v>
      </c>
    </row>
    <row r="24" spans="1:18" ht="28.5" customHeight="1">
      <c r="A24" s="689" t="s">
        <v>106</v>
      </c>
      <c r="B24" s="689"/>
      <c r="C24" s="689"/>
      <c r="D24" s="1">
        <v>30</v>
      </c>
      <c r="E24" s="31">
        <f aca="true" t="shared" si="6" ref="E24:Q24">E7-E15</f>
        <v>323949</v>
      </c>
      <c r="F24" s="31">
        <f t="shared" si="6"/>
        <v>-129899</v>
      </c>
      <c r="G24" s="31">
        <f t="shared" si="6"/>
        <v>0</v>
      </c>
      <c r="H24" s="31">
        <f t="shared" si="6"/>
        <v>-5385317</v>
      </c>
      <c r="I24" s="31">
        <f t="shared" si="6"/>
        <v>5384200</v>
      </c>
      <c r="J24" s="31">
        <f t="shared" si="6"/>
        <v>1117</v>
      </c>
      <c r="K24" s="31">
        <f t="shared" si="6"/>
        <v>194050</v>
      </c>
      <c r="L24" s="31">
        <f t="shared" si="6"/>
        <v>505471</v>
      </c>
      <c r="M24" s="31">
        <f t="shared" si="6"/>
        <v>-85060</v>
      </c>
      <c r="N24" s="31">
        <f t="shared" si="6"/>
        <v>-2233</v>
      </c>
      <c r="O24" s="31">
        <f t="shared" si="6"/>
        <v>-6197434</v>
      </c>
      <c r="P24" s="31">
        <f t="shared" si="6"/>
        <v>6158495</v>
      </c>
      <c r="Q24" s="31">
        <f t="shared" si="6"/>
        <v>38939</v>
      </c>
      <c r="R24" s="31">
        <f>R7-R15</f>
        <v>418178</v>
      </c>
    </row>
    <row r="25" spans="1:18" ht="15">
      <c r="A25" s="696" t="s">
        <v>107</v>
      </c>
      <c r="B25" s="697"/>
      <c r="C25" s="697"/>
      <c r="D25" s="698"/>
      <c r="E25" s="407"/>
      <c r="F25" s="407"/>
      <c r="G25" s="407"/>
      <c r="H25" s="407"/>
      <c r="I25" s="407"/>
      <c r="J25" s="407"/>
      <c r="K25" s="407"/>
      <c r="L25" s="407"/>
      <c r="M25" s="407"/>
      <c r="N25" s="407"/>
      <c r="O25" s="407"/>
      <c r="P25" s="407"/>
      <c r="Q25" s="407"/>
      <c r="R25" s="407"/>
    </row>
    <row r="26" spans="1:18" ht="15">
      <c r="A26" s="690" t="s">
        <v>108</v>
      </c>
      <c r="B26" s="690"/>
      <c r="C26" s="690"/>
      <c r="D26" s="1">
        <v>40</v>
      </c>
      <c r="E26" s="31">
        <f>SUM(E28:E38)</f>
        <v>150000</v>
      </c>
      <c r="F26" s="31">
        <f>SUM(F28:F38)</f>
        <v>32771</v>
      </c>
      <c r="G26" s="31">
        <f aca="true" t="shared" si="7" ref="G26:R26">SUM(G28:G38)</f>
        <v>0</v>
      </c>
      <c r="H26" s="31">
        <f t="shared" si="7"/>
        <v>0</v>
      </c>
      <c r="I26" s="31">
        <f t="shared" si="7"/>
        <v>0</v>
      </c>
      <c r="J26" s="31">
        <f t="shared" si="7"/>
        <v>0</v>
      </c>
      <c r="K26" s="31">
        <f t="shared" si="7"/>
        <v>182771</v>
      </c>
      <c r="L26" s="31">
        <f t="shared" si="7"/>
        <v>78780</v>
      </c>
      <c r="M26" s="31">
        <f t="shared" si="7"/>
        <v>114562</v>
      </c>
      <c r="N26" s="31">
        <f t="shared" si="7"/>
        <v>0</v>
      </c>
      <c r="O26" s="31">
        <f t="shared" si="7"/>
        <v>0</v>
      </c>
      <c r="P26" s="31">
        <f t="shared" si="7"/>
        <v>0</v>
      </c>
      <c r="Q26" s="31">
        <f t="shared" si="7"/>
        <v>0</v>
      </c>
      <c r="R26" s="31">
        <f t="shared" si="7"/>
        <v>193342</v>
      </c>
    </row>
    <row r="27" spans="1:18" ht="15">
      <c r="A27" s="691" t="s">
        <v>91</v>
      </c>
      <c r="B27" s="691"/>
      <c r="C27" s="691"/>
      <c r="D27" s="2"/>
      <c r="E27" s="31"/>
      <c r="F27" s="31"/>
      <c r="G27" s="31"/>
      <c r="H27" s="31"/>
      <c r="I27" s="31"/>
      <c r="J27" s="31"/>
      <c r="K27" s="31">
        <f aca="true" t="shared" si="8" ref="K27:K38">SUM(E27:J27)</f>
        <v>0</v>
      </c>
      <c r="L27" s="33"/>
      <c r="M27" s="33"/>
      <c r="N27" s="33"/>
      <c r="O27" s="33"/>
      <c r="P27" s="33"/>
      <c r="Q27" s="33"/>
      <c r="R27" s="18"/>
    </row>
    <row r="28" spans="1:18" ht="15">
      <c r="A28" s="687" t="s">
        <v>109</v>
      </c>
      <c r="B28" s="687"/>
      <c r="C28" s="687"/>
      <c r="D28" s="3">
        <v>41</v>
      </c>
      <c r="E28" s="31"/>
      <c r="F28" s="31">
        <f>F40</f>
        <v>0</v>
      </c>
      <c r="G28" s="31"/>
      <c r="H28" s="31"/>
      <c r="I28" s="31"/>
      <c r="J28" s="31"/>
      <c r="K28" s="31">
        <f t="shared" si="8"/>
        <v>0</v>
      </c>
      <c r="L28" s="33"/>
      <c r="M28" s="33"/>
      <c r="N28" s="33"/>
      <c r="O28" s="33"/>
      <c r="P28" s="33"/>
      <c r="Q28" s="33"/>
      <c r="R28" s="18">
        <f aca="true" t="shared" si="9" ref="R28:R38">SUM(L28:Q28)</f>
        <v>0</v>
      </c>
    </row>
    <row r="29" spans="1:18" ht="15">
      <c r="A29" s="687" t="s">
        <v>110</v>
      </c>
      <c r="B29" s="687"/>
      <c r="C29" s="687"/>
      <c r="D29" s="3">
        <v>42</v>
      </c>
      <c r="E29" s="33"/>
      <c r="F29" s="33"/>
      <c r="G29" s="33"/>
      <c r="H29" s="33"/>
      <c r="I29" s="33"/>
      <c r="J29" s="33"/>
      <c r="K29" s="31">
        <f t="shared" si="8"/>
        <v>0</v>
      </c>
      <c r="L29" s="33"/>
      <c r="M29" s="33"/>
      <c r="N29" s="33"/>
      <c r="O29" s="33"/>
      <c r="P29" s="33"/>
      <c r="Q29" s="33"/>
      <c r="R29" s="18">
        <f t="shared" si="9"/>
        <v>0</v>
      </c>
    </row>
    <row r="30" spans="1:18" ht="15">
      <c r="A30" s="687" t="s">
        <v>111</v>
      </c>
      <c r="B30" s="687"/>
      <c r="C30" s="687"/>
      <c r="D30" s="2">
        <v>43</v>
      </c>
      <c r="E30" s="33"/>
      <c r="F30" s="33"/>
      <c r="G30" s="33"/>
      <c r="H30" s="33"/>
      <c r="I30" s="33"/>
      <c r="J30" s="33"/>
      <c r="K30" s="31">
        <f t="shared" si="8"/>
        <v>0</v>
      </c>
      <c r="L30" s="33"/>
      <c r="M30" s="33"/>
      <c r="N30" s="33"/>
      <c r="O30" s="33"/>
      <c r="P30" s="33"/>
      <c r="Q30" s="33"/>
      <c r="R30" s="18">
        <f t="shared" si="9"/>
        <v>0</v>
      </c>
    </row>
    <row r="31" spans="1:18" ht="24" customHeight="1">
      <c r="A31" s="688" t="s">
        <v>112</v>
      </c>
      <c r="B31" s="688"/>
      <c r="C31" s="688"/>
      <c r="D31" s="2">
        <v>44</v>
      </c>
      <c r="E31" s="33"/>
      <c r="F31" s="33"/>
      <c r="G31" s="33"/>
      <c r="H31" s="33"/>
      <c r="I31" s="33"/>
      <c r="J31" s="33"/>
      <c r="K31" s="31">
        <f t="shared" si="8"/>
        <v>0</v>
      </c>
      <c r="L31" s="33"/>
      <c r="M31" s="33"/>
      <c r="N31" s="33"/>
      <c r="O31" s="33"/>
      <c r="P31" s="33"/>
      <c r="Q31" s="33"/>
      <c r="R31" s="18">
        <f t="shared" si="9"/>
        <v>0</v>
      </c>
    </row>
    <row r="32" spans="1:18" ht="15">
      <c r="A32" s="687" t="s">
        <v>113</v>
      </c>
      <c r="B32" s="687"/>
      <c r="C32" s="687"/>
      <c r="D32" s="2">
        <v>45</v>
      </c>
      <c r="E32" s="33"/>
      <c r="F32" s="33"/>
      <c r="G32" s="33"/>
      <c r="H32" s="33"/>
      <c r="I32" s="33"/>
      <c r="J32" s="33"/>
      <c r="K32" s="31">
        <f t="shared" si="8"/>
        <v>0</v>
      </c>
      <c r="L32" s="33"/>
      <c r="M32" s="33"/>
      <c r="N32" s="33"/>
      <c r="O32" s="33"/>
      <c r="P32" s="33"/>
      <c r="Q32" s="33"/>
      <c r="R32" s="18">
        <f t="shared" si="9"/>
        <v>0</v>
      </c>
    </row>
    <row r="33" spans="1:18" ht="15">
      <c r="A33" s="687" t="s">
        <v>666</v>
      </c>
      <c r="B33" s="687"/>
      <c r="C33" s="687"/>
      <c r="D33" s="2">
        <v>46</v>
      </c>
      <c r="E33" s="33"/>
      <c r="F33" s="33">
        <v>32771</v>
      </c>
      <c r="G33" s="33"/>
      <c r="H33" s="33"/>
      <c r="I33" s="33"/>
      <c r="J33" s="33"/>
      <c r="K33" s="516">
        <f t="shared" si="8"/>
        <v>32771</v>
      </c>
      <c r="L33" s="33"/>
      <c r="M33" s="33">
        <v>114562</v>
      </c>
      <c r="N33" s="33"/>
      <c r="O33" s="33"/>
      <c r="P33" s="33"/>
      <c r="Q33" s="33"/>
      <c r="R33" s="18">
        <f t="shared" si="9"/>
        <v>114562</v>
      </c>
    </row>
    <row r="34" spans="1:18" ht="15">
      <c r="A34" s="687" t="s">
        <v>114</v>
      </c>
      <c r="B34" s="687"/>
      <c r="C34" s="687"/>
      <c r="D34" s="2">
        <v>47</v>
      </c>
      <c r="E34" s="33"/>
      <c r="F34" s="33"/>
      <c r="G34" s="33"/>
      <c r="H34" s="33"/>
      <c r="I34" s="33"/>
      <c r="J34" s="33"/>
      <c r="K34" s="31">
        <f>SUM(E34:J34)</f>
        <v>0</v>
      </c>
      <c r="L34" s="33"/>
      <c r="M34" s="33"/>
      <c r="N34" s="33"/>
      <c r="O34" s="33"/>
      <c r="P34" s="33"/>
      <c r="Q34" s="33"/>
      <c r="R34" s="18">
        <f t="shared" si="9"/>
        <v>0</v>
      </c>
    </row>
    <row r="35" spans="1:18" ht="15">
      <c r="A35" s="687" t="s">
        <v>115</v>
      </c>
      <c r="B35" s="687"/>
      <c r="C35" s="687"/>
      <c r="D35" s="2">
        <v>48</v>
      </c>
      <c r="E35" s="33"/>
      <c r="F35" s="33"/>
      <c r="G35" s="33"/>
      <c r="H35" s="33"/>
      <c r="I35" s="33"/>
      <c r="J35" s="33"/>
      <c r="K35" s="31">
        <f t="shared" si="8"/>
        <v>0</v>
      </c>
      <c r="L35" s="33"/>
      <c r="M35" s="33"/>
      <c r="N35" s="33"/>
      <c r="O35" s="33"/>
      <c r="P35" s="33"/>
      <c r="Q35" s="33"/>
      <c r="R35" s="18">
        <f t="shared" si="9"/>
        <v>0</v>
      </c>
    </row>
    <row r="36" spans="1:18" ht="15">
      <c r="A36" s="688" t="s">
        <v>116</v>
      </c>
      <c r="B36" s="688"/>
      <c r="C36" s="688"/>
      <c r="D36" s="2">
        <v>49</v>
      </c>
      <c r="E36" s="33"/>
      <c r="F36" s="33"/>
      <c r="G36" s="33"/>
      <c r="H36" s="33"/>
      <c r="I36" s="33"/>
      <c r="J36" s="33"/>
      <c r="K36" s="31">
        <f t="shared" si="8"/>
        <v>0</v>
      </c>
      <c r="L36" s="33"/>
      <c r="M36" s="33"/>
      <c r="N36" s="33"/>
      <c r="O36" s="33"/>
      <c r="P36" s="33"/>
      <c r="Q36" s="33"/>
      <c r="R36" s="18">
        <f t="shared" si="9"/>
        <v>0</v>
      </c>
    </row>
    <row r="37" spans="1:18" ht="15">
      <c r="A37" s="688" t="s">
        <v>96</v>
      </c>
      <c r="B37" s="688"/>
      <c r="C37" s="688"/>
      <c r="D37" s="2">
        <v>50</v>
      </c>
      <c r="E37" s="33"/>
      <c r="F37" s="33"/>
      <c r="G37" s="33"/>
      <c r="H37" s="33"/>
      <c r="I37" s="33"/>
      <c r="J37" s="33"/>
      <c r="K37" s="31">
        <f t="shared" si="8"/>
        <v>0</v>
      </c>
      <c r="L37" s="33">
        <v>160</v>
      </c>
      <c r="M37" s="33"/>
      <c r="N37" s="33"/>
      <c r="O37" s="33"/>
      <c r="P37" s="33"/>
      <c r="Q37" s="33"/>
      <c r="R37" s="18">
        <f t="shared" si="9"/>
        <v>160</v>
      </c>
    </row>
    <row r="38" spans="1:18" ht="15">
      <c r="A38" s="687" t="s">
        <v>97</v>
      </c>
      <c r="B38" s="687"/>
      <c r="C38" s="687"/>
      <c r="D38" s="2">
        <v>51</v>
      </c>
      <c r="E38" s="33">
        <v>150000</v>
      </c>
      <c r="F38" s="33">
        <v>0</v>
      </c>
      <c r="G38" s="33"/>
      <c r="H38" s="33"/>
      <c r="I38" s="33"/>
      <c r="J38" s="33"/>
      <c r="K38" s="516">
        <f t="shared" si="8"/>
        <v>150000</v>
      </c>
      <c r="L38" s="33">
        <v>78620</v>
      </c>
      <c r="M38" s="33"/>
      <c r="N38" s="33"/>
      <c r="O38" s="33"/>
      <c r="P38" s="33"/>
      <c r="Q38" s="33"/>
      <c r="R38" s="18">
        <f t="shared" si="9"/>
        <v>78620</v>
      </c>
    </row>
    <row r="39" spans="1:18" ht="15">
      <c r="A39" s="699" t="s">
        <v>98</v>
      </c>
      <c r="B39" s="700"/>
      <c r="C39" s="701"/>
      <c r="D39" s="31">
        <v>60</v>
      </c>
      <c r="E39" s="31">
        <f>SUM(E41:E44,E46:E52)</f>
        <v>183740</v>
      </c>
      <c r="F39" s="31">
        <f>SUM(F41:F44,F46:F52)</f>
        <v>23270</v>
      </c>
      <c r="G39" s="31">
        <f aca="true" t="shared" si="10" ref="G39:R39">SUM(G41:G44,G46:G52)</f>
        <v>0</v>
      </c>
      <c r="H39" s="31">
        <f t="shared" si="10"/>
        <v>0</v>
      </c>
      <c r="I39" s="31">
        <f t="shared" si="10"/>
        <v>0</v>
      </c>
      <c r="J39" s="31">
        <f t="shared" si="10"/>
        <v>0</v>
      </c>
      <c r="K39" s="31">
        <f t="shared" si="10"/>
        <v>207010</v>
      </c>
      <c r="L39" s="31">
        <f t="shared" si="10"/>
        <v>722451</v>
      </c>
      <c r="M39" s="31">
        <f t="shared" si="10"/>
        <v>309160</v>
      </c>
      <c r="N39" s="31">
        <f t="shared" si="10"/>
        <v>0</v>
      </c>
      <c r="O39" s="31">
        <f t="shared" si="10"/>
        <v>-85000</v>
      </c>
      <c r="P39" s="31">
        <f t="shared" si="10"/>
        <v>0</v>
      </c>
      <c r="Q39" s="31">
        <f t="shared" si="10"/>
        <v>0</v>
      </c>
      <c r="R39" s="31">
        <f t="shared" si="10"/>
        <v>946611</v>
      </c>
    </row>
    <row r="40" spans="1:18" ht="15">
      <c r="A40" s="691" t="s">
        <v>91</v>
      </c>
      <c r="B40" s="691"/>
      <c r="C40" s="691"/>
      <c r="D40" s="2"/>
      <c r="E40" s="33"/>
      <c r="F40" s="33"/>
      <c r="G40" s="33"/>
      <c r="H40" s="33"/>
      <c r="I40" s="33"/>
      <c r="J40" s="33"/>
      <c r="K40" s="31">
        <f aca="true" t="shared" si="11" ref="K40:K52">SUM(E40:J40)</f>
        <v>0</v>
      </c>
      <c r="L40" s="33"/>
      <c r="M40" s="33"/>
      <c r="N40" s="33"/>
      <c r="O40" s="33"/>
      <c r="P40" s="33"/>
      <c r="Q40" s="33"/>
      <c r="R40" s="31">
        <v>0</v>
      </c>
    </row>
    <row r="41" spans="1:18" ht="15">
      <c r="A41" s="687" t="s">
        <v>117</v>
      </c>
      <c r="B41" s="687"/>
      <c r="C41" s="687"/>
      <c r="D41" s="2">
        <v>61</v>
      </c>
      <c r="E41" s="34">
        <v>500</v>
      </c>
      <c r="F41" s="33"/>
      <c r="G41" s="33"/>
      <c r="H41" s="18"/>
      <c r="I41" s="33"/>
      <c r="J41" s="33"/>
      <c r="K41" s="516">
        <f t="shared" si="11"/>
        <v>500</v>
      </c>
      <c r="L41" s="34">
        <v>22905</v>
      </c>
      <c r="M41" s="33"/>
      <c r="N41" s="33"/>
      <c r="O41" s="18"/>
      <c r="P41" s="33"/>
      <c r="Q41" s="33"/>
      <c r="R41" s="516">
        <f>SUM(L41:Q41)</f>
        <v>22905</v>
      </c>
    </row>
    <row r="42" spans="1:18" ht="19.5" customHeight="1">
      <c r="A42" s="687" t="s">
        <v>118</v>
      </c>
      <c r="B42" s="687"/>
      <c r="C42" s="687"/>
      <c r="D42" s="2">
        <v>62</v>
      </c>
      <c r="E42" s="33"/>
      <c r="F42" s="33"/>
      <c r="G42" s="33"/>
      <c r="H42" s="33"/>
      <c r="I42" s="33"/>
      <c r="J42" s="33"/>
      <c r="K42" s="31">
        <f t="shared" si="11"/>
        <v>0</v>
      </c>
      <c r="L42" s="33"/>
      <c r="M42" s="33"/>
      <c r="N42" s="33"/>
      <c r="O42" s="33"/>
      <c r="P42" s="33"/>
      <c r="Q42" s="33"/>
      <c r="R42" s="516">
        <f>SUM(L42:Q42)</f>
        <v>0</v>
      </c>
    </row>
    <row r="43" spans="1:18" ht="19.5" customHeight="1">
      <c r="A43" s="703" t="s">
        <v>119</v>
      </c>
      <c r="B43" s="703"/>
      <c r="C43" s="703"/>
      <c r="D43" s="2">
        <v>63</v>
      </c>
      <c r="E43" s="33"/>
      <c r="F43" s="33"/>
      <c r="G43" s="33"/>
      <c r="H43" s="33"/>
      <c r="I43" s="33"/>
      <c r="J43" s="33"/>
      <c r="K43" s="31">
        <f t="shared" si="11"/>
        <v>0</v>
      </c>
      <c r="L43" s="33">
        <v>4371</v>
      </c>
      <c r="M43" s="33"/>
      <c r="N43" s="33"/>
      <c r="O43" s="33"/>
      <c r="P43" s="33"/>
      <c r="Q43" s="33"/>
      <c r="R43" s="516">
        <f>SUM(L43:Q43)</f>
        <v>4371</v>
      </c>
    </row>
    <row r="44" spans="1:18" ht="39.75" customHeight="1" thickBot="1">
      <c r="A44" s="688" t="s">
        <v>120</v>
      </c>
      <c r="B44" s="688"/>
      <c r="C44" s="688"/>
      <c r="D44" s="2">
        <v>64</v>
      </c>
      <c r="E44" s="33"/>
      <c r="F44" s="33"/>
      <c r="G44" s="33"/>
      <c r="H44" s="33"/>
      <c r="I44" s="33"/>
      <c r="J44" s="33"/>
      <c r="K44" s="31">
        <f t="shared" si="11"/>
        <v>0</v>
      </c>
      <c r="L44" s="33"/>
      <c r="M44" s="33"/>
      <c r="N44" s="33"/>
      <c r="O44" s="33"/>
      <c r="P44" s="33"/>
      <c r="Q44" s="33"/>
      <c r="R44" s="516">
        <f>SUM(L44:Q44)</f>
        <v>0</v>
      </c>
    </row>
    <row r="45" spans="1:18" ht="42.75" customHeight="1">
      <c r="A45" s="650" t="s">
        <v>2</v>
      </c>
      <c r="B45" s="651"/>
      <c r="C45" s="652"/>
      <c r="D45" s="529" t="s">
        <v>3</v>
      </c>
      <c r="E45" s="469" t="s">
        <v>160</v>
      </c>
      <c r="F45" s="470" t="s">
        <v>161</v>
      </c>
      <c r="G45" s="471" t="s">
        <v>162</v>
      </c>
      <c r="H45" s="469" t="s">
        <v>163</v>
      </c>
      <c r="I45" s="470" t="s">
        <v>164</v>
      </c>
      <c r="J45" s="471" t="s">
        <v>165</v>
      </c>
      <c r="K45" s="521" t="s">
        <v>398</v>
      </c>
      <c r="L45" s="488" t="s">
        <v>390</v>
      </c>
      <c r="M45" s="488" t="s">
        <v>391</v>
      </c>
      <c r="N45" s="488" t="s">
        <v>392</v>
      </c>
      <c r="O45" s="488" t="s">
        <v>4</v>
      </c>
      <c r="P45" s="488" t="s">
        <v>5</v>
      </c>
      <c r="Q45" s="488" t="s">
        <v>6</v>
      </c>
      <c r="R45" s="488" t="s">
        <v>399</v>
      </c>
    </row>
    <row r="46" spans="1:18" ht="15">
      <c r="A46" s="687" t="s">
        <v>121</v>
      </c>
      <c r="B46" s="687"/>
      <c r="C46" s="687"/>
      <c r="D46" s="2">
        <v>65</v>
      </c>
      <c r="E46" s="33"/>
      <c r="F46" s="33"/>
      <c r="G46" s="33"/>
      <c r="H46" s="33"/>
      <c r="I46" s="33"/>
      <c r="J46" s="33"/>
      <c r="K46" s="31">
        <f t="shared" si="11"/>
        <v>0</v>
      </c>
      <c r="L46" s="33"/>
      <c r="M46" s="33"/>
      <c r="N46" s="33"/>
      <c r="O46" s="33"/>
      <c r="P46" s="33"/>
      <c r="Q46" s="33"/>
      <c r="R46" s="516">
        <f aca="true" t="shared" si="12" ref="R46:R52">SUM(L46:Q46)</f>
        <v>0</v>
      </c>
    </row>
    <row r="47" spans="1:18" ht="15">
      <c r="A47" s="687" t="s">
        <v>122</v>
      </c>
      <c r="B47" s="687"/>
      <c r="C47" s="687"/>
      <c r="D47" s="2">
        <v>66</v>
      </c>
      <c r="E47" s="33"/>
      <c r="F47" s="33"/>
      <c r="G47" s="33"/>
      <c r="H47" s="33"/>
      <c r="I47" s="33"/>
      <c r="J47" s="33"/>
      <c r="K47" s="31">
        <f>SUM(E47:J47)</f>
        <v>0</v>
      </c>
      <c r="L47" s="33"/>
      <c r="M47" s="33"/>
      <c r="N47" s="33"/>
      <c r="O47" s="33"/>
      <c r="P47" s="33"/>
      <c r="Q47" s="33"/>
      <c r="R47" s="516">
        <f t="shared" si="12"/>
        <v>0</v>
      </c>
    </row>
    <row r="48" spans="1:18" ht="15">
      <c r="A48" s="693" t="s">
        <v>123</v>
      </c>
      <c r="B48" s="693"/>
      <c r="C48" s="693"/>
      <c r="D48" s="2">
        <v>67</v>
      </c>
      <c r="E48" s="34"/>
      <c r="F48" s="33"/>
      <c r="G48" s="33"/>
      <c r="H48" s="33"/>
      <c r="I48" s="33"/>
      <c r="J48" s="33"/>
      <c r="K48" s="31">
        <f t="shared" si="11"/>
        <v>0</v>
      </c>
      <c r="L48" s="34"/>
      <c r="M48" s="33"/>
      <c r="N48" s="33"/>
      <c r="O48" s="33"/>
      <c r="P48" s="33"/>
      <c r="Q48" s="33"/>
      <c r="R48" s="516">
        <f t="shared" si="12"/>
        <v>0</v>
      </c>
    </row>
    <row r="49" spans="1:18" ht="15">
      <c r="A49" s="693" t="s">
        <v>667</v>
      </c>
      <c r="B49" s="693"/>
      <c r="C49" s="693"/>
      <c r="D49" s="2">
        <v>68</v>
      </c>
      <c r="E49" s="34">
        <v>183240</v>
      </c>
      <c r="F49" s="33">
        <v>23270</v>
      </c>
      <c r="G49" s="33"/>
      <c r="H49" s="33"/>
      <c r="I49" s="33"/>
      <c r="J49" s="33"/>
      <c r="K49" s="516">
        <f t="shared" si="11"/>
        <v>206510</v>
      </c>
      <c r="L49" s="34">
        <v>610175</v>
      </c>
      <c r="M49" s="33">
        <v>309160</v>
      </c>
      <c r="N49" s="33"/>
      <c r="O49" s="33"/>
      <c r="P49" s="33"/>
      <c r="Q49" s="33"/>
      <c r="R49" s="516">
        <f t="shared" si="12"/>
        <v>919335</v>
      </c>
    </row>
    <row r="50" spans="1:18" ht="15">
      <c r="A50" s="704" t="s">
        <v>115</v>
      </c>
      <c r="B50" s="704"/>
      <c r="C50" s="704"/>
      <c r="D50" s="2">
        <v>69</v>
      </c>
      <c r="E50" s="33"/>
      <c r="F50" s="33"/>
      <c r="G50" s="33"/>
      <c r="H50" s="33"/>
      <c r="I50" s="33"/>
      <c r="J50" s="33"/>
      <c r="K50" s="31">
        <f t="shared" si="11"/>
        <v>0</v>
      </c>
      <c r="L50" s="33"/>
      <c r="M50" s="33"/>
      <c r="N50" s="33"/>
      <c r="O50" s="33"/>
      <c r="P50" s="33"/>
      <c r="Q50" s="33"/>
      <c r="R50" s="516">
        <f t="shared" si="12"/>
        <v>0</v>
      </c>
    </row>
    <row r="51" spans="1:18" ht="15">
      <c r="A51" s="688" t="s">
        <v>124</v>
      </c>
      <c r="B51" s="688"/>
      <c r="C51" s="688"/>
      <c r="D51" s="2">
        <v>70</v>
      </c>
      <c r="E51" s="33"/>
      <c r="F51" s="33"/>
      <c r="G51" s="33"/>
      <c r="H51" s="33"/>
      <c r="I51" s="33"/>
      <c r="J51" s="33"/>
      <c r="K51" s="31">
        <f t="shared" si="11"/>
        <v>0</v>
      </c>
      <c r="L51" s="33"/>
      <c r="M51" s="33"/>
      <c r="N51" s="33"/>
      <c r="O51" s="33"/>
      <c r="P51" s="33"/>
      <c r="Q51" s="33"/>
      <c r="R51" s="516">
        <f t="shared" si="12"/>
        <v>0</v>
      </c>
    </row>
    <row r="52" spans="1:18" ht="15">
      <c r="A52" s="687" t="s">
        <v>105</v>
      </c>
      <c r="B52" s="687"/>
      <c r="C52" s="687"/>
      <c r="D52" s="2">
        <v>71</v>
      </c>
      <c r="E52" s="34"/>
      <c r="F52" s="33"/>
      <c r="G52" s="33"/>
      <c r="H52" s="35"/>
      <c r="I52" s="33"/>
      <c r="J52" s="33"/>
      <c r="K52" s="31">
        <f t="shared" si="11"/>
        <v>0</v>
      </c>
      <c r="L52" s="34">
        <v>85000</v>
      </c>
      <c r="M52" s="33"/>
      <c r="N52" s="33"/>
      <c r="O52" s="35">
        <v>-85000</v>
      </c>
      <c r="P52" s="33"/>
      <c r="Q52" s="33"/>
      <c r="R52" s="516">
        <f t="shared" si="12"/>
        <v>0</v>
      </c>
    </row>
    <row r="53" spans="1:18" ht="29.25" customHeight="1">
      <c r="A53" s="689" t="s">
        <v>125</v>
      </c>
      <c r="B53" s="689"/>
      <c r="C53" s="689"/>
      <c r="D53" s="1">
        <v>80</v>
      </c>
      <c r="E53" s="31">
        <f aca="true" t="shared" si="13" ref="E53:Q53">E26-E39</f>
        <v>-33740</v>
      </c>
      <c r="F53" s="31">
        <f t="shared" si="13"/>
        <v>9501</v>
      </c>
      <c r="G53" s="31">
        <f t="shared" si="13"/>
        <v>0</v>
      </c>
      <c r="H53" s="31">
        <f t="shared" si="13"/>
        <v>0</v>
      </c>
      <c r="I53" s="31">
        <f t="shared" si="13"/>
        <v>0</v>
      </c>
      <c r="J53" s="31">
        <f t="shared" si="13"/>
        <v>0</v>
      </c>
      <c r="K53" s="31">
        <f t="shared" si="13"/>
        <v>-24239</v>
      </c>
      <c r="L53" s="31">
        <f t="shared" si="13"/>
        <v>-643671</v>
      </c>
      <c r="M53" s="31">
        <f t="shared" si="13"/>
        <v>-194598</v>
      </c>
      <c r="N53" s="31">
        <f t="shared" si="13"/>
        <v>0</v>
      </c>
      <c r="O53" s="31">
        <f t="shared" si="13"/>
        <v>85000</v>
      </c>
      <c r="P53" s="31">
        <f t="shared" si="13"/>
        <v>0</v>
      </c>
      <c r="Q53" s="31">
        <f t="shared" si="13"/>
        <v>0</v>
      </c>
      <c r="R53" s="31">
        <f>R26-R39</f>
        <v>-753269</v>
      </c>
    </row>
    <row r="54" spans="1:18" ht="15">
      <c r="A54" s="696" t="s">
        <v>126</v>
      </c>
      <c r="B54" s="697"/>
      <c r="C54" s="697"/>
      <c r="D54" s="698"/>
      <c r="E54" s="407"/>
      <c r="F54" s="407"/>
      <c r="G54" s="407"/>
      <c r="H54" s="407"/>
      <c r="I54" s="407"/>
      <c r="J54" s="407"/>
      <c r="K54" s="407"/>
      <c r="L54" s="407"/>
      <c r="M54" s="407"/>
      <c r="N54" s="407"/>
      <c r="O54" s="407"/>
      <c r="P54" s="407"/>
      <c r="Q54" s="407"/>
      <c r="R54" s="407"/>
    </row>
    <row r="55" spans="1:18" ht="15">
      <c r="A55" s="690" t="s">
        <v>127</v>
      </c>
      <c r="B55" s="690"/>
      <c r="C55" s="690"/>
      <c r="D55" s="1">
        <v>90</v>
      </c>
      <c r="E55" s="31">
        <f>SUM(E57:E60)</f>
        <v>2358000</v>
      </c>
      <c r="F55" s="31">
        <f>SUM(F57:F60)</f>
        <v>1699214</v>
      </c>
      <c r="G55" s="31">
        <f aca="true" t="shared" si="14" ref="G55:R55">SUM(G57:G60)</f>
        <v>0</v>
      </c>
      <c r="H55" s="31">
        <f t="shared" si="14"/>
        <v>0</v>
      </c>
      <c r="I55" s="31">
        <f t="shared" si="14"/>
        <v>0</v>
      </c>
      <c r="J55" s="31">
        <f t="shared" si="14"/>
        <v>0</v>
      </c>
      <c r="K55" s="31">
        <f t="shared" si="14"/>
        <v>4057214</v>
      </c>
      <c r="L55" s="31">
        <f t="shared" si="14"/>
        <v>2156232</v>
      </c>
      <c r="M55" s="31">
        <f t="shared" si="14"/>
        <v>843000</v>
      </c>
      <c r="N55" s="31">
        <f t="shared" si="14"/>
        <v>0</v>
      </c>
      <c r="O55" s="31">
        <f t="shared" si="14"/>
        <v>0</v>
      </c>
      <c r="P55" s="31">
        <f t="shared" si="14"/>
        <v>-85000</v>
      </c>
      <c r="Q55" s="31">
        <f t="shared" si="14"/>
        <v>0</v>
      </c>
      <c r="R55" s="31">
        <f t="shared" si="14"/>
        <v>2914232</v>
      </c>
    </row>
    <row r="56" spans="1:18" ht="15">
      <c r="A56" s="691" t="s">
        <v>91</v>
      </c>
      <c r="B56" s="691"/>
      <c r="C56" s="691"/>
      <c r="D56" s="2"/>
      <c r="E56" s="33"/>
      <c r="F56" s="33"/>
      <c r="G56" s="33"/>
      <c r="H56" s="33"/>
      <c r="I56" s="33"/>
      <c r="J56" s="33"/>
      <c r="K56" s="31">
        <f>SUM(E56:J56)</f>
        <v>0</v>
      </c>
      <c r="L56" s="33"/>
      <c r="M56" s="33"/>
      <c r="N56" s="33"/>
      <c r="O56" s="33"/>
      <c r="P56" s="33"/>
      <c r="Q56" s="33"/>
      <c r="R56" s="516"/>
    </row>
    <row r="57" spans="1:18" ht="15">
      <c r="A57" s="687" t="s">
        <v>128</v>
      </c>
      <c r="B57" s="687"/>
      <c r="C57" s="687"/>
      <c r="D57" s="2">
        <v>91</v>
      </c>
      <c r="E57" s="32"/>
      <c r="F57" s="18"/>
      <c r="G57" s="18"/>
      <c r="H57" s="18"/>
      <c r="I57" s="18"/>
      <c r="J57" s="18"/>
      <c r="K57" s="31">
        <f>SUM(E57:J57)</f>
        <v>0</v>
      </c>
      <c r="L57" s="32"/>
      <c r="M57" s="18">
        <v>85000</v>
      </c>
      <c r="N57" s="18"/>
      <c r="O57" s="18"/>
      <c r="P57" s="18">
        <v>-85000</v>
      </c>
      <c r="Q57" s="18"/>
      <c r="R57" s="516">
        <f>SUM(L57:Q57)</f>
        <v>0</v>
      </c>
    </row>
    <row r="58" spans="1:18" ht="15">
      <c r="A58" s="687" t="s">
        <v>129</v>
      </c>
      <c r="B58" s="687"/>
      <c r="C58" s="687"/>
      <c r="D58" s="2">
        <v>92</v>
      </c>
      <c r="E58" s="32">
        <v>2358000</v>
      </c>
      <c r="F58" s="18">
        <v>1699214</v>
      </c>
      <c r="G58" s="18"/>
      <c r="H58" s="36"/>
      <c r="I58" s="18"/>
      <c r="J58" s="18"/>
      <c r="K58" s="516">
        <f>SUM(E58:J58)</f>
        <v>4057214</v>
      </c>
      <c r="L58" s="32">
        <v>2153000</v>
      </c>
      <c r="M58" s="18">
        <v>758000</v>
      </c>
      <c r="N58" s="18"/>
      <c r="O58" s="36"/>
      <c r="P58" s="18"/>
      <c r="Q58" s="18"/>
      <c r="R58" s="516">
        <f aca="true" t="shared" si="15" ref="R58:R72">SUM(L58:Q58)</f>
        <v>2911000</v>
      </c>
    </row>
    <row r="59" spans="1:18" ht="15">
      <c r="A59" s="687" t="s">
        <v>130</v>
      </c>
      <c r="B59" s="687"/>
      <c r="C59" s="687"/>
      <c r="D59" s="2">
        <v>93</v>
      </c>
      <c r="E59" s="18"/>
      <c r="F59" s="18"/>
      <c r="G59" s="18"/>
      <c r="H59" s="18"/>
      <c r="I59" s="18"/>
      <c r="J59" s="18"/>
      <c r="K59" s="31">
        <f>SUM(E59:J59)</f>
        <v>0</v>
      </c>
      <c r="L59" s="18"/>
      <c r="M59" s="18"/>
      <c r="N59" s="18"/>
      <c r="O59" s="18"/>
      <c r="P59" s="18"/>
      <c r="Q59" s="18"/>
      <c r="R59" s="516">
        <f t="shared" si="15"/>
        <v>0</v>
      </c>
    </row>
    <row r="60" spans="1:18" ht="15">
      <c r="A60" s="687" t="s">
        <v>97</v>
      </c>
      <c r="B60" s="687"/>
      <c r="C60" s="687"/>
      <c r="D60" s="3">
        <v>94</v>
      </c>
      <c r="E60" s="18"/>
      <c r="F60" s="18"/>
      <c r="G60" s="18"/>
      <c r="H60" s="18"/>
      <c r="I60" s="36"/>
      <c r="J60" s="18"/>
      <c r="K60" s="31">
        <f>SUM(E60:J60)</f>
        <v>0</v>
      </c>
      <c r="L60" s="18">
        <v>3232</v>
      </c>
      <c r="M60" s="18"/>
      <c r="N60" s="18"/>
      <c r="O60" s="18"/>
      <c r="P60" s="36"/>
      <c r="Q60" s="18"/>
      <c r="R60" s="516">
        <f t="shared" si="15"/>
        <v>3232</v>
      </c>
    </row>
    <row r="61" spans="1:18" ht="15">
      <c r="A61" s="690" t="s">
        <v>98</v>
      </c>
      <c r="B61" s="690"/>
      <c r="C61" s="690"/>
      <c r="D61" s="1">
        <v>100</v>
      </c>
      <c r="E61" s="31">
        <f>SUM(E63:E67)</f>
        <v>2647989</v>
      </c>
      <c r="F61" s="31">
        <f>SUM(F63:F67)</f>
        <v>1620032</v>
      </c>
      <c r="G61" s="31">
        <f aca="true" t="shared" si="16" ref="G61:Q61">SUM(G63:G67)</f>
        <v>0</v>
      </c>
      <c r="H61" s="31">
        <f t="shared" si="16"/>
        <v>0</v>
      </c>
      <c r="I61" s="31">
        <f t="shared" si="16"/>
        <v>0</v>
      </c>
      <c r="J61" s="31">
        <f t="shared" si="16"/>
        <v>0</v>
      </c>
      <c r="K61" s="31">
        <f t="shared" si="16"/>
        <v>4268021</v>
      </c>
      <c r="L61" s="31">
        <f t="shared" si="16"/>
        <v>2112874</v>
      </c>
      <c r="M61" s="31">
        <f t="shared" si="16"/>
        <v>526000</v>
      </c>
      <c r="N61" s="31">
        <f t="shared" si="16"/>
        <v>0</v>
      </c>
      <c r="O61" s="31">
        <f t="shared" si="16"/>
        <v>0</v>
      </c>
      <c r="P61" s="31">
        <f t="shared" si="16"/>
        <v>0</v>
      </c>
      <c r="Q61" s="31">
        <f t="shared" si="16"/>
        <v>0</v>
      </c>
      <c r="R61" s="516">
        <f t="shared" si="15"/>
        <v>2638874</v>
      </c>
    </row>
    <row r="62" spans="1:18" ht="15">
      <c r="A62" s="692" t="s">
        <v>91</v>
      </c>
      <c r="B62" s="692"/>
      <c r="C62" s="692"/>
      <c r="D62" s="2"/>
      <c r="E62" s="33"/>
      <c r="F62" s="33"/>
      <c r="G62" s="33"/>
      <c r="H62" s="33"/>
      <c r="I62" s="33"/>
      <c r="J62" s="33"/>
      <c r="K62" s="31">
        <f aca="true" t="shared" si="17" ref="K62:K69">SUM(E62:J62)</f>
        <v>0</v>
      </c>
      <c r="L62" s="33"/>
      <c r="M62" s="33"/>
      <c r="N62" s="33"/>
      <c r="O62" s="33"/>
      <c r="P62" s="33"/>
      <c r="Q62" s="33"/>
      <c r="R62" s="516">
        <f t="shared" si="15"/>
        <v>0</v>
      </c>
    </row>
    <row r="63" spans="1:18" ht="15">
      <c r="A63" s="687" t="s">
        <v>131</v>
      </c>
      <c r="B63" s="687"/>
      <c r="C63" s="687"/>
      <c r="D63" s="2">
        <v>101</v>
      </c>
      <c r="E63" s="32">
        <v>2459987</v>
      </c>
      <c r="F63" s="18">
        <v>1620032</v>
      </c>
      <c r="G63" s="18"/>
      <c r="H63" s="18"/>
      <c r="I63" s="36"/>
      <c r="J63" s="18"/>
      <c r="K63" s="516">
        <f t="shared" si="17"/>
        <v>4080019</v>
      </c>
      <c r="L63" s="32">
        <v>1940000</v>
      </c>
      <c r="M63" s="18">
        <v>526000</v>
      </c>
      <c r="N63" s="18"/>
      <c r="O63" s="18"/>
      <c r="P63" s="36"/>
      <c r="Q63" s="18"/>
      <c r="R63" s="516">
        <f t="shared" si="15"/>
        <v>2466000</v>
      </c>
    </row>
    <row r="64" spans="1:18" ht="15">
      <c r="A64" s="687" t="s">
        <v>102</v>
      </c>
      <c r="B64" s="687"/>
      <c r="C64" s="687"/>
      <c r="D64" s="2">
        <v>102</v>
      </c>
      <c r="E64" s="32">
        <v>166011</v>
      </c>
      <c r="F64" s="32"/>
      <c r="G64" s="18"/>
      <c r="H64" s="18"/>
      <c r="I64" s="18"/>
      <c r="J64" s="18"/>
      <c r="K64" s="516">
        <f t="shared" si="17"/>
        <v>166011</v>
      </c>
      <c r="L64" s="32">
        <v>168376</v>
      </c>
      <c r="M64" s="32"/>
      <c r="N64" s="18"/>
      <c r="O64" s="18"/>
      <c r="P64" s="18"/>
      <c r="Q64" s="18"/>
      <c r="R64" s="516">
        <f t="shared" si="15"/>
        <v>168376</v>
      </c>
    </row>
    <row r="65" spans="1:18" ht="15">
      <c r="A65" s="687" t="s">
        <v>132</v>
      </c>
      <c r="B65" s="687"/>
      <c r="C65" s="687"/>
      <c r="D65" s="2">
        <v>103</v>
      </c>
      <c r="E65" s="18"/>
      <c r="F65" s="18"/>
      <c r="G65" s="18"/>
      <c r="H65" s="18"/>
      <c r="I65" s="18"/>
      <c r="J65" s="18"/>
      <c r="K65" s="516">
        <f t="shared" si="17"/>
        <v>0</v>
      </c>
      <c r="L65" s="18"/>
      <c r="M65" s="18"/>
      <c r="N65" s="18"/>
      <c r="O65" s="18"/>
      <c r="P65" s="18"/>
      <c r="Q65" s="18"/>
      <c r="R65" s="516">
        <f t="shared" si="15"/>
        <v>0</v>
      </c>
    </row>
    <row r="66" spans="1:18" ht="15">
      <c r="A66" s="687" t="s">
        <v>133</v>
      </c>
      <c r="B66" s="687"/>
      <c r="C66" s="687"/>
      <c r="D66" s="2">
        <v>104</v>
      </c>
      <c r="E66" s="18"/>
      <c r="F66" s="18"/>
      <c r="G66" s="18"/>
      <c r="H66" s="18"/>
      <c r="I66" s="18"/>
      <c r="J66" s="18"/>
      <c r="K66" s="516">
        <f t="shared" si="17"/>
        <v>0</v>
      </c>
      <c r="L66" s="18"/>
      <c r="M66" s="18"/>
      <c r="N66" s="18"/>
      <c r="O66" s="18"/>
      <c r="P66" s="18"/>
      <c r="Q66" s="18"/>
      <c r="R66" s="516">
        <f t="shared" si="15"/>
        <v>0</v>
      </c>
    </row>
    <row r="67" spans="1:18" ht="15">
      <c r="A67" s="693" t="s">
        <v>134</v>
      </c>
      <c r="B67" s="693"/>
      <c r="C67" s="693"/>
      <c r="D67" s="2">
        <v>105</v>
      </c>
      <c r="E67" s="18">
        <v>21991</v>
      </c>
      <c r="F67" s="18"/>
      <c r="G67" s="18"/>
      <c r="H67" s="18"/>
      <c r="I67" s="18"/>
      <c r="J67" s="18"/>
      <c r="K67" s="516">
        <f t="shared" si="17"/>
        <v>21991</v>
      </c>
      <c r="L67" s="18">
        <v>4498</v>
      </c>
      <c r="M67" s="18"/>
      <c r="N67" s="18"/>
      <c r="O67" s="18"/>
      <c r="P67" s="18"/>
      <c r="Q67" s="18"/>
      <c r="R67" s="516">
        <f t="shared" si="15"/>
        <v>4498</v>
      </c>
    </row>
    <row r="68" spans="1:18" ht="27" customHeight="1">
      <c r="A68" s="689" t="s">
        <v>135</v>
      </c>
      <c r="B68" s="689"/>
      <c r="C68" s="689"/>
      <c r="D68" s="1">
        <v>110</v>
      </c>
      <c r="E68" s="31">
        <f aca="true" t="shared" si="18" ref="E68:R68">E55-E61</f>
        <v>-289989</v>
      </c>
      <c r="F68" s="31">
        <f t="shared" si="18"/>
        <v>79182</v>
      </c>
      <c r="G68" s="31">
        <f t="shared" si="18"/>
        <v>0</v>
      </c>
      <c r="H68" s="31">
        <f t="shared" si="18"/>
        <v>0</v>
      </c>
      <c r="I68" s="31">
        <f t="shared" si="18"/>
        <v>0</v>
      </c>
      <c r="J68" s="31">
        <f t="shared" si="18"/>
        <v>0</v>
      </c>
      <c r="K68" s="31">
        <f t="shared" si="18"/>
        <v>-210807</v>
      </c>
      <c r="L68" s="31">
        <f t="shared" si="18"/>
        <v>43358</v>
      </c>
      <c r="M68" s="31">
        <f t="shared" si="18"/>
        <v>317000</v>
      </c>
      <c r="N68" s="31">
        <f t="shared" si="18"/>
        <v>0</v>
      </c>
      <c r="O68" s="31">
        <f t="shared" si="18"/>
        <v>0</v>
      </c>
      <c r="P68" s="31">
        <f t="shared" si="18"/>
        <v>-85000</v>
      </c>
      <c r="Q68" s="31">
        <f t="shared" si="18"/>
        <v>0</v>
      </c>
      <c r="R68" s="31">
        <f t="shared" si="18"/>
        <v>275358</v>
      </c>
    </row>
    <row r="69" spans="1:18" ht="15">
      <c r="A69" s="689" t="s">
        <v>136</v>
      </c>
      <c r="B69" s="689"/>
      <c r="C69" s="689"/>
      <c r="D69" s="1">
        <v>120</v>
      </c>
      <c r="E69" s="31">
        <v>0</v>
      </c>
      <c r="F69" s="31"/>
      <c r="G69" s="31"/>
      <c r="H69" s="31"/>
      <c r="I69" s="31"/>
      <c r="J69" s="31"/>
      <c r="K69" s="31">
        <f t="shared" si="17"/>
        <v>0</v>
      </c>
      <c r="L69" s="31">
        <v>-251</v>
      </c>
      <c r="M69" s="31"/>
      <c r="N69" s="31"/>
      <c r="O69" s="31"/>
      <c r="P69" s="31"/>
      <c r="Q69" s="31"/>
      <c r="R69" s="517">
        <f t="shared" si="15"/>
        <v>-251</v>
      </c>
    </row>
    <row r="70" spans="1:18" ht="26.25" customHeight="1">
      <c r="A70" s="689" t="s">
        <v>137</v>
      </c>
      <c r="B70" s="689"/>
      <c r="C70" s="689"/>
      <c r="D70" s="1">
        <v>130</v>
      </c>
      <c r="E70" s="31">
        <f>E24+E53+E68+E69</f>
        <v>220</v>
      </c>
      <c r="F70" s="31">
        <f aca="true" t="shared" si="19" ref="F70:Q70">F24+F53+F68+F69</f>
        <v>-41216</v>
      </c>
      <c r="G70" s="31">
        <f t="shared" si="19"/>
        <v>0</v>
      </c>
      <c r="H70" s="31">
        <f t="shared" si="19"/>
        <v>-5385317</v>
      </c>
      <c r="I70" s="31">
        <f t="shared" si="19"/>
        <v>5384200</v>
      </c>
      <c r="J70" s="31">
        <f t="shared" si="19"/>
        <v>1117</v>
      </c>
      <c r="K70" s="31">
        <f t="shared" si="19"/>
        <v>-40996</v>
      </c>
      <c r="L70" s="31">
        <f t="shared" si="19"/>
        <v>-95093</v>
      </c>
      <c r="M70" s="31">
        <f t="shared" si="19"/>
        <v>37342</v>
      </c>
      <c r="N70" s="31">
        <f t="shared" si="19"/>
        <v>-2233</v>
      </c>
      <c r="O70" s="31">
        <f t="shared" si="19"/>
        <v>-6112434</v>
      </c>
      <c r="P70" s="31">
        <f t="shared" si="19"/>
        <v>6073495</v>
      </c>
      <c r="Q70" s="31">
        <f t="shared" si="19"/>
        <v>38939</v>
      </c>
      <c r="R70" s="517">
        <f>R24+R53+R68+R69</f>
        <v>-59984</v>
      </c>
    </row>
    <row r="71" spans="1:18" ht="26.25" customHeight="1">
      <c r="A71" s="689" t="s">
        <v>138</v>
      </c>
      <c r="B71" s="689"/>
      <c r="C71" s="689"/>
      <c r="D71" s="1">
        <v>140</v>
      </c>
      <c r="E71" s="37">
        <v>10999</v>
      </c>
      <c r="F71" s="37">
        <v>142609</v>
      </c>
      <c r="G71" s="37"/>
      <c r="H71" s="37"/>
      <c r="I71" s="37"/>
      <c r="J71" s="37"/>
      <c r="K71" s="37">
        <f>SUM(E71:F71)</f>
        <v>153608</v>
      </c>
      <c r="L71" s="37">
        <v>106093</v>
      </c>
      <c r="M71" s="37">
        <v>105267</v>
      </c>
      <c r="N71" s="37">
        <v>2293</v>
      </c>
      <c r="O71" s="37"/>
      <c r="P71" s="37"/>
      <c r="Q71" s="37"/>
      <c r="R71" s="517">
        <f t="shared" si="15"/>
        <v>213653</v>
      </c>
    </row>
    <row r="72" spans="1:18" ht="24.75" customHeight="1">
      <c r="A72" s="689" t="s">
        <v>139</v>
      </c>
      <c r="B72" s="689"/>
      <c r="C72" s="689"/>
      <c r="D72" s="1">
        <v>150</v>
      </c>
      <c r="E72" s="38">
        <v>11219</v>
      </c>
      <c r="F72" s="38">
        <v>101393</v>
      </c>
      <c r="G72" s="38"/>
      <c r="H72" s="38"/>
      <c r="I72" s="38"/>
      <c r="J72" s="38"/>
      <c r="K72" s="37">
        <f>SUM(E72:F72)</f>
        <v>112612</v>
      </c>
      <c r="L72" s="38">
        <v>11000</v>
      </c>
      <c r="M72" s="38">
        <v>142609</v>
      </c>
      <c r="N72" s="38">
        <v>60</v>
      </c>
      <c r="O72" s="38"/>
      <c r="P72" s="38"/>
      <c r="Q72" s="38"/>
      <c r="R72" s="517">
        <f t="shared" si="15"/>
        <v>153669</v>
      </c>
    </row>
    <row r="73" spans="1:18" ht="15">
      <c r="A73" s="4"/>
      <c r="B73" s="4"/>
      <c r="C73" s="4"/>
      <c r="D73" s="5"/>
      <c r="E73" s="518"/>
      <c r="F73" s="6"/>
      <c r="G73" s="6"/>
      <c r="H73" s="6"/>
      <c r="I73" s="6"/>
      <c r="J73" s="6"/>
      <c r="K73" s="6"/>
      <c r="L73" s="6"/>
      <c r="M73" s="6">
        <f>M72-M71</f>
        <v>37342</v>
      </c>
      <c r="N73" s="6">
        <f>N72-N71</f>
        <v>-2233</v>
      </c>
      <c r="O73" s="6">
        <f>O72-O71</f>
        <v>0</v>
      </c>
      <c r="P73" s="6">
        <f>P72-P71</f>
        <v>0</v>
      </c>
      <c r="Q73" s="6">
        <f>Q72-Q71</f>
        <v>0</v>
      </c>
      <c r="R73" s="6"/>
    </row>
    <row r="74" spans="1:18" ht="15.75">
      <c r="A74" s="121" t="s">
        <v>394</v>
      </c>
      <c r="B74" s="121"/>
      <c r="C74" s="121"/>
      <c r="D74" s="173"/>
      <c r="E74" s="8"/>
      <c r="F74" s="8"/>
      <c r="G74" s="8"/>
      <c r="H74" s="8"/>
      <c r="I74" s="8"/>
      <c r="J74" s="8"/>
      <c r="K74" s="8"/>
      <c r="L74" s="8"/>
      <c r="M74" s="8"/>
      <c r="N74" s="8"/>
      <c r="O74" s="8"/>
      <c r="P74" s="8"/>
      <c r="Q74" s="8"/>
      <c r="R74" s="9"/>
    </row>
    <row r="75" spans="1:18" ht="15.75">
      <c r="A75" s="121"/>
      <c r="B75" s="121"/>
      <c r="C75" s="121"/>
      <c r="D75" s="172"/>
      <c r="E75" s="410"/>
      <c r="F75" s="410"/>
      <c r="G75" s="410"/>
      <c r="H75" s="410"/>
      <c r="I75" s="410"/>
      <c r="J75" s="410"/>
      <c r="K75" s="410"/>
      <c r="L75" s="410"/>
      <c r="M75" s="410"/>
      <c r="N75" s="410"/>
      <c r="O75" s="410"/>
      <c r="P75" s="410"/>
      <c r="Q75" s="410"/>
      <c r="R75" s="519"/>
    </row>
    <row r="76" spans="1:18" ht="15.75">
      <c r="A76" s="121" t="s">
        <v>396</v>
      </c>
      <c r="B76" s="121"/>
      <c r="C76" s="121"/>
      <c r="D76" s="410"/>
      <c r="E76" s="520"/>
      <c r="F76" s="410"/>
      <c r="G76" s="410"/>
      <c r="H76" s="410"/>
      <c r="I76" s="410"/>
      <c r="J76" s="410"/>
      <c r="K76" s="410"/>
      <c r="L76" s="410"/>
      <c r="M76" s="410"/>
      <c r="N76" s="410"/>
      <c r="O76" s="410"/>
      <c r="P76" s="410"/>
      <c r="Q76" s="410"/>
      <c r="R76" s="9"/>
    </row>
    <row r="77" spans="1:18" ht="15">
      <c r="A77" s="170"/>
      <c r="B77" s="5"/>
      <c r="C77" s="173"/>
      <c r="D77" s="173"/>
      <c r="E77" s="9"/>
      <c r="F77" s="9"/>
      <c r="G77" s="9"/>
      <c r="H77" s="9"/>
      <c r="I77" s="9"/>
      <c r="J77" s="9"/>
      <c r="K77" s="9"/>
      <c r="L77" s="9"/>
      <c r="M77" s="9"/>
      <c r="N77" s="9"/>
      <c r="O77" s="9"/>
      <c r="P77" s="9"/>
      <c r="Q77" s="9"/>
      <c r="R77" s="9"/>
    </row>
    <row r="78" spans="1:18" ht="15">
      <c r="A78" s="171"/>
      <c r="B78" s="172"/>
      <c r="C78" s="172"/>
      <c r="D78" s="172"/>
      <c r="E78" s="410"/>
      <c r="F78" s="410"/>
      <c r="G78" s="410"/>
      <c r="H78" s="410"/>
      <c r="I78" s="410"/>
      <c r="J78" s="410"/>
      <c r="K78" s="410"/>
      <c r="L78" s="410"/>
      <c r="M78" s="410"/>
      <c r="N78" s="410"/>
      <c r="O78" s="410"/>
      <c r="P78" s="410"/>
      <c r="Q78" s="410"/>
      <c r="R78" s="519"/>
    </row>
    <row r="79" spans="1:18" ht="15">
      <c r="A79" s="5"/>
      <c r="B79" s="5"/>
      <c r="C79" s="5"/>
      <c r="D79" s="5"/>
      <c r="E79" s="5"/>
      <c r="F79" s="5"/>
      <c r="G79" s="5"/>
      <c r="H79" s="5"/>
      <c r="I79" s="5"/>
      <c r="J79" s="5"/>
      <c r="K79" s="5"/>
      <c r="L79" s="5"/>
      <c r="M79" s="5"/>
      <c r="N79" s="5"/>
      <c r="O79" s="5"/>
      <c r="P79" s="5"/>
      <c r="Q79" s="5"/>
      <c r="R79" s="5"/>
    </row>
  </sheetData>
  <sheetProtection/>
  <mergeCells count="71">
    <mergeCell ref="A1:R1"/>
    <mergeCell ref="A2:R2"/>
    <mergeCell ref="A3:R3"/>
    <mergeCell ref="A5:C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D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D54"/>
    <mergeCell ref="A55:C55"/>
    <mergeCell ref="A67:C67"/>
    <mergeCell ref="A56:C56"/>
    <mergeCell ref="A57:C57"/>
    <mergeCell ref="A58:C58"/>
    <mergeCell ref="A59:C59"/>
    <mergeCell ref="A60:C60"/>
    <mergeCell ref="A61:C61"/>
    <mergeCell ref="A68:C68"/>
    <mergeCell ref="A69:C69"/>
    <mergeCell ref="A70:C70"/>
    <mergeCell ref="A71:C71"/>
    <mergeCell ref="A72:C72"/>
    <mergeCell ref="A62:C62"/>
    <mergeCell ref="A63:C63"/>
    <mergeCell ref="A64:C64"/>
    <mergeCell ref="A65:C65"/>
    <mergeCell ref="A66:C66"/>
  </mergeCells>
  <printOptions/>
  <pageMargins left="0.7" right="0.7" top="0.75" bottom="0.75" header="0.3" footer="0.3"/>
  <pageSetup horizontalDpi="600" verticalDpi="600" orientation="portrait" paperSize="9" scale="83" r:id="rId1"/>
  <rowBreaks count="1" manualBreakCount="1">
    <brk id="44" max="255" man="1"/>
  </rowBreaks>
</worksheet>
</file>

<file path=xl/worksheets/sheet6.xml><?xml version="1.0" encoding="utf-8"?>
<worksheet xmlns="http://schemas.openxmlformats.org/spreadsheetml/2006/main" xmlns:r="http://schemas.openxmlformats.org/officeDocument/2006/relationships">
  <dimension ref="A1:M89"/>
  <sheetViews>
    <sheetView tabSelected="1" view="pageBreakPreview" zoomScale="60" workbookViewId="0" topLeftCell="A2">
      <pane xSplit="2" ySplit="13" topLeftCell="C15" activePane="bottomRight" state="frozen"/>
      <selection pane="topLeft" activeCell="A9" sqref="A9"/>
      <selection pane="topRight" activeCell="C9" sqref="C9"/>
      <selection pane="bottomLeft" activeCell="A14" sqref="A14"/>
      <selection pane="bottomRight" activeCell="L47" sqref="L47"/>
    </sheetView>
  </sheetViews>
  <sheetFormatPr defaultColWidth="9.140625" defaultRowHeight="15"/>
  <cols>
    <col min="1" max="1" width="41.57421875" style="10" customWidth="1"/>
    <col min="2" max="2" width="7.7109375" style="10" customWidth="1"/>
    <col min="3" max="3" width="14.421875" style="10" customWidth="1"/>
    <col min="4" max="4" width="12.00390625" style="10" hidden="1" customWidth="1"/>
    <col min="5" max="5" width="15.8515625" style="10" hidden="1" customWidth="1"/>
    <col min="6" max="6" width="11.8515625" style="10" customWidth="1"/>
    <col min="7" max="7" width="15.7109375" style="10" customWidth="1"/>
    <col min="8" max="8" width="16.57421875" style="10" customWidth="1"/>
    <col min="9" max="9" width="14.00390625" style="10" customWidth="1"/>
    <col min="10" max="10" width="11.8515625" style="10" customWidth="1"/>
    <col min="11" max="11" width="12.00390625" style="10" bestFit="1" customWidth="1"/>
    <col min="12" max="16384" width="9.140625" style="10" customWidth="1"/>
  </cols>
  <sheetData>
    <row r="1" spans="1:9" ht="15" customHeight="1">
      <c r="A1" s="254"/>
      <c r="B1" s="273"/>
      <c r="C1" s="271"/>
      <c r="D1" s="271"/>
      <c r="E1" s="271"/>
      <c r="F1" s="274"/>
      <c r="G1" s="274"/>
      <c r="H1" s="715" t="s">
        <v>474</v>
      </c>
      <c r="I1" s="715"/>
    </row>
    <row r="2" spans="1:9" ht="15">
      <c r="A2" s="548"/>
      <c r="B2" s="713"/>
      <c r="C2" s="714"/>
      <c r="D2" s="714"/>
      <c r="E2" s="714"/>
      <c r="F2" s="274"/>
      <c r="G2" s="274"/>
      <c r="H2" s="274"/>
      <c r="I2" s="274"/>
    </row>
    <row r="3" spans="1:9" ht="15">
      <c r="A3" s="548"/>
      <c r="B3" s="713"/>
      <c r="C3" s="714"/>
      <c r="D3" s="714"/>
      <c r="E3" s="714"/>
      <c r="F3" s="274"/>
      <c r="G3" s="274"/>
      <c r="H3" s="274"/>
      <c r="I3" s="274"/>
    </row>
    <row r="4" spans="1:9" ht="15" hidden="1">
      <c r="A4" s="548"/>
      <c r="B4" s="713"/>
      <c r="C4" s="714"/>
      <c r="D4" s="714"/>
      <c r="E4" s="714"/>
      <c r="F4" s="274"/>
      <c r="G4" s="274"/>
      <c r="H4" s="274"/>
      <c r="I4" s="274"/>
    </row>
    <row r="5" spans="1:9" ht="15" hidden="1">
      <c r="A5" s="548"/>
      <c r="B5" s="713"/>
      <c r="C5" s="714"/>
      <c r="D5" s="714"/>
      <c r="E5" s="714"/>
      <c r="F5" s="274"/>
      <c r="G5" s="274"/>
      <c r="H5" s="274"/>
      <c r="I5" s="274"/>
    </row>
    <row r="6" spans="1:9" ht="15" hidden="1">
      <c r="A6" s="548"/>
      <c r="B6" s="713"/>
      <c r="C6" s="714"/>
      <c r="D6" s="714"/>
      <c r="E6" s="714"/>
      <c r="F6" s="274"/>
      <c r="G6" s="274"/>
      <c r="H6" s="274"/>
      <c r="I6" s="274"/>
    </row>
    <row r="7" spans="1:9" ht="15" hidden="1">
      <c r="A7" s="548"/>
      <c r="B7" s="713"/>
      <c r="C7" s="714"/>
      <c r="D7" s="714"/>
      <c r="E7" s="714"/>
      <c r="F7" s="274"/>
      <c r="G7" s="274"/>
      <c r="H7" s="274"/>
      <c r="I7" s="274"/>
    </row>
    <row r="8" spans="1:9" ht="15" hidden="1">
      <c r="A8" s="549"/>
      <c r="B8" s="713"/>
      <c r="C8" s="714"/>
      <c r="D8" s="714"/>
      <c r="E8" s="714"/>
      <c r="F8" s="274"/>
      <c r="G8" s="274"/>
      <c r="H8" s="274"/>
      <c r="I8" s="274"/>
    </row>
    <row r="9" spans="1:9" ht="15" hidden="1">
      <c r="A9" s="256"/>
      <c r="B9" s="279"/>
      <c r="C9" s="547"/>
      <c r="D9" s="547"/>
      <c r="E9" s="547"/>
      <c r="F9" s="274"/>
      <c r="G9" s="274"/>
      <c r="H9" s="274"/>
      <c r="I9" s="274"/>
    </row>
    <row r="10" spans="2:12" ht="33.75" customHeight="1">
      <c r="B10" s="716" t="s">
        <v>393</v>
      </c>
      <c r="C10" s="716"/>
      <c r="D10" s="716"/>
      <c r="E10" s="716"/>
      <c r="F10" s="716"/>
      <c r="G10" s="716"/>
      <c r="H10" s="716"/>
      <c r="I10" s="716"/>
      <c r="J10" s="275"/>
      <c r="K10" s="275"/>
      <c r="L10" s="275"/>
    </row>
    <row r="11" spans="2:13" ht="15" customHeight="1">
      <c r="B11" s="272"/>
      <c r="C11" s="272"/>
      <c r="D11" s="272"/>
      <c r="E11" s="272"/>
      <c r="F11" s="649" t="s">
        <v>891</v>
      </c>
      <c r="G11" s="649"/>
      <c r="H11" s="649"/>
      <c r="I11" s="649"/>
      <c r="J11" s="179"/>
      <c r="K11" s="179"/>
      <c r="L11" s="179"/>
      <c r="M11" s="179"/>
    </row>
    <row r="12" spans="1:9" ht="15">
      <c r="A12" s="257"/>
      <c r="B12" s="257"/>
      <c r="C12" s="257"/>
      <c r="D12" s="257"/>
      <c r="E12" s="257"/>
      <c r="F12" s="257"/>
      <c r="G12" s="257"/>
      <c r="H12" s="257"/>
      <c r="I12" s="258" t="s">
        <v>473</v>
      </c>
    </row>
    <row r="13" spans="1:9" ht="15">
      <c r="A13" s="708" t="s">
        <v>432</v>
      </c>
      <c r="B13" s="708" t="s">
        <v>433</v>
      </c>
      <c r="C13" s="710" t="s">
        <v>434</v>
      </c>
      <c r="D13" s="711"/>
      <c r="E13" s="711"/>
      <c r="F13" s="711"/>
      <c r="G13" s="712"/>
      <c r="H13" s="708" t="s">
        <v>62</v>
      </c>
      <c r="I13" s="708" t="s">
        <v>435</v>
      </c>
    </row>
    <row r="14" spans="1:9" ht="49.5" customHeight="1">
      <c r="A14" s="709"/>
      <c r="B14" s="709"/>
      <c r="C14" s="306" t="s">
        <v>55</v>
      </c>
      <c r="D14" s="306" t="s">
        <v>56</v>
      </c>
      <c r="E14" s="306" t="s">
        <v>57</v>
      </c>
      <c r="F14" s="306" t="s">
        <v>59</v>
      </c>
      <c r="G14" s="306" t="s">
        <v>436</v>
      </c>
      <c r="H14" s="709"/>
      <c r="I14" s="709"/>
    </row>
    <row r="15" spans="1:9" ht="15">
      <c r="A15" s="263" t="s">
        <v>495</v>
      </c>
      <c r="B15" s="261" t="s">
        <v>65</v>
      </c>
      <c r="C15" s="276">
        <v>1146250</v>
      </c>
      <c r="D15" s="277">
        <v>0</v>
      </c>
      <c r="E15" s="277">
        <v>0</v>
      </c>
      <c r="F15" s="516">
        <v>-203195</v>
      </c>
      <c r="G15" s="276">
        <v>2626109</v>
      </c>
      <c r="H15" s="277">
        <v>0</v>
      </c>
      <c r="I15" s="262">
        <f>SUM(C15:H15)</f>
        <v>3569164</v>
      </c>
    </row>
    <row r="16" spans="1:9" ht="15">
      <c r="A16" s="260" t="s">
        <v>437</v>
      </c>
      <c r="B16" s="261" t="s">
        <v>438</v>
      </c>
      <c r="C16" s="277"/>
      <c r="D16" s="277"/>
      <c r="E16" s="277"/>
      <c r="F16" s="277"/>
      <c r="G16" s="277"/>
      <c r="H16" s="277"/>
      <c r="I16" s="262">
        <v>0</v>
      </c>
    </row>
    <row r="17" spans="1:9" ht="21" customHeight="1">
      <c r="A17" s="263" t="s">
        <v>439</v>
      </c>
      <c r="B17" s="259">
        <v>100</v>
      </c>
      <c r="C17" s="264">
        <f>C15</f>
        <v>1146250</v>
      </c>
      <c r="D17" s="264">
        <f aca="true" t="shared" si="0" ref="D17:I17">D15</f>
        <v>0</v>
      </c>
      <c r="E17" s="264">
        <f t="shared" si="0"/>
        <v>0</v>
      </c>
      <c r="F17" s="31">
        <f t="shared" si="0"/>
        <v>-203195</v>
      </c>
      <c r="G17" s="264">
        <f t="shared" si="0"/>
        <v>2626109</v>
      </c>
      <c r="H17" s="264">
        <f t="shared" si="0"/>
        <v>0</v>
      </c>
      <c r="I17" s="264">
        <f t="shared" si="0"/>
        <v>3569164</v>
      </c>
    </row>
    <row r="18" spans="1:9" ht="27.75" customHeight="1">
      <c r="A18" s="263" t="s">
        <v>440</v>
      </c>
      <c r="B18" s="259">
        <v>200</v>
      </c>
      <c r="C18" s="264">
        <f>C19+C20</f>
        <v>0</v>
      </c>
      <c r="D18" s="264">
        <f>D19+D20</f>
        <v>0</v>
      </c>
      <c r="E18" s="264">
        <f>E19+E20</f>
        <v>0</v>
      </c>
      <c r="F18" s="264">
        <f>F19+F20</f>
        <v>0</v>
      </c>
      <c r="G18" s="264">
        <f>G19+G20</f>
        <v>353139</v>
      </c>
      <c r="H18" s="264">
        <v>0</v>
      </c>
      <c r="I18" s="264">
        <v>0</v>
      </c>
    </row>
    <row r="19" spans="1:9" ht="15">
      <c r="A19" s="260" t="s">
        <v>441</v>
      </c>
      <c r="B19" s="265">
        <v>210</v>
      </c>
      <c r="C19" s="277"/>
      <c r="D19" s="277"/>
      <c r="E19" s="277"/>
      <c r="F19" s="277"/>
      <c r="G19" s="276">
        <v>353139</v>
      </c>
      <c r="H19" s="277"/>
      <c r="I19" s="262">
        <f>G19</f>
        <v>353139</v>
      </c>
    </row>
    <row r="20" spans="1:9" ht="24">
      <c r="A20" s="260" t="s">
        <v>442</v>
      </c>
      <c r="B20" s="265">
        <v>220</v>
      </c>
      <c r="C20" s="262">
        <f>C22+C23+C24</f>
        <v>0</v>
      </c>
      <c r="D20" s="262">
        <f>D22+D23+D24</f>
        <v>0</v>
      </c>
      <c r="E20" s="262">
        <f>E22+E23+E24</f>
        <v>0</v>
      </c>
      <c r="F20" s="262">
        <v>0</v>
      </c>
      <c r="G20" s="516">
        <f>0</f>
        <v>0</v>
      </c>
      <c r="H20" s="262">
        <v>0</v>
      </c>
      <c r="I20" s="262">
        <v>0</v>
      </c>
    </row>
    <row r="21" spans="1:9" ht="15">
      <c r="A21" s="705" t="s">
        <v>91</v>
      </c>
      <c r="B21" s="706"/>
      <c r="C21" s="706"/>
      <c r="D21" s="706"/>
      <c r="E21" s="706"/>
      <c r="F21" s="706"/>
      <c r="G21" s="706"/>
      <c r="H21" s="706"/>
      <c r="I21" s="707"/>
    </row>
    <row r="22" spans="1:9" ht="15">
      <c r="A22" s="260" t="s">
        <v>811</v>
      </c>
      <c r="B22" s="265">
        <v>221</v>
      </c>
      <c r="C22" s="277"/>
      <c r="D22" s="277"/>
      <c r="E22" s="277"/>
      <c r="F22" s="546">
        <v>0</v>
      </c>
      <c r="G22" s="516">
        <v>0</v>
      </c>
      <c r="H22" s="277"/>
      <c r="I22" s="262">
        <v>0</v>
      </c>
    </row>
    <row r="23" spans="1:9" ht="15">
      <c r="A23" s="260" t="s">
        <v>812</v>
      </c>
      <c r="B23" s="265">
        <v>222</v>
      </c>
      <c r="C23" s="277"/>
      <c r="D23" s="277"/>
      <c r="E23" s="277"/>
      <c r="F23" s="277"/>
      <c r="G23" s="516">
        <v>0</v>
      </c>
      <c r="H23" s="277"/>
      <c r="I23" s="262">
        <v>0</v>
      </c>
    </row>
    <row r="24" spans="1:9" ht="36">
      <c r="A24" s="260" t="s">
        <v>443</v>
      </c>
      <c r="B24" s="265">
        <v>223</v>
      </c>
      <c r="C24" s="277"/>
      <c r="D24" s="277"/>
      <c r="E24" s="277"/>
      <c r="F24" s="277"/>
      <c r="G24" s="516">
        <v>0</v>
      </c>
      <c r="H24" s="277"/>
      <c r="I24" s="262">
        <v>0</v>
      </c>
    </row>
    <row r="25" spans="1:9" ht="48">
      <c r="A25" s="260" t="s">
        <v>444</v>
      </c>
      <c r="B25" s="265">
        <v>224</v>
      </c>
      <c r="C25" s="277"/>
      <c r="D25" s="277"/>
      <c r="E25" s="277"/>
      <c r="F25" s="277"/>
      <c r="G25" s="277"/>
      <c r="H25" s="277"/>
      <c r="I25" s="262">
        <v>0</v>
      </c>
    </row>
    <row r="26" spans="1:9" ht="24">
      <c r="A26" s="260" t="s">
        <v>445</v>
      </c>
      <c r="B26" s="265">
        <v>225</v>
      </c>
      <c r="C26" s="277"/>
      <c r="D26" s="277"/>
      <c r="E26" s="277"/>
      <c r="F26" s="277"/>
      <c r="G26" s="277"/>
      <c r="H26" s="277"/>
      <c r="I26" s="262">
        <v>0</v>
      </c>
    </row>
    <row r="27" spans="1:9" ht="24">
      <c r="A27" s="260" t="s">
        <v>446</v>
      </c>
      <c r="B27" s="265">
        <v>226</v>
      </c>
      <c r="C27" s="277"/>
      <c r="D27" s="277"/>
      <c r="E27" s="277"/>
      <c r="F27" s="277"/>
      <c r="G27" s="277"/>
      <c r="H27" s="277"/>
      <c r="I27" s="262">
        <v>0</v>
      </c>
    </row>
    <row r="28" spans="1:9" ht="24">
      <c r="A28" s="260" t="s">
        <v>447</v>
      </c>
      <c r="B28" s="265">
        <v>227</v>
      </c>
      <c r="C28" s="277"/>
      <c r="D28" s="277"/>
      <c r="E28" s="277"/>
      <c r="F28" s="277"/>
      <c r="G28" s="277"/>
      <c r="H28" s="277"/>
      <c r="I28" s="262">
        <v>0</v>
      </c>
    </row>
    <row r="29" spans="1:9" ht="24">
      <c r="A29" s="260" t="s">
        <v>448</v>
      </c>
      <c r="B29" s="265">
        <v>228</v>
      </c>
      <c r="C29" s="277"/>
      <c r="D29" s="277"/>
      <c r="E29" s="277"/>
      <c r="F29" s="277"/>
      <c r="G29" s="277"/>
      <c r="H29" s="277"/>
      <c r="I29" s="262">
        <v>0</v>
      </c>
    </row>
    <row r="30" spans="1:9" ht="24">
      <c r="A30" s="260" t="s">
        <v>449</v>
      </c>
      <c r="B30" s="265">
        <v>229</v>
      </c>
      <c r="C30" s="277"/>
      <c r="D30" s="277"/>
      <c r="E30" s="277"/>
      <c r="F30" s="277"/>
      <c r="G30" s="277"/>
      <c r="H30" s="277"/>
      <c r="I30" s="262">
        <v>0</v>
      </c>
    </row>
    <row r="31" spans="1:9" ht="24">
      <c r="A31" s="263" t="s">
        <v>450</v>
      </c>
      <c r="B31" s="259">
        <v>300</v>
      </c>
      <c r="C31" s="264">
        <v>0</v>
      </c>
      <c r="D31" s="264">
        <v>0</v>
      </c>
      <c r="E31" s="264">
        <v>0</v>
      </c>
      <c r="F31" s="264">
        <v>0</v>
      </c>
      <c r="G31" s="264">
        <v>0</v>
      </c>
      <c r="H31" s="264">
        <v>0</v>
      </c>
      <c r="I31" s="264">
        <f>SUM(C31:H31)</f>
        <v>0</v>
      </c>
    </row>
    <row r="32" spans="1:9" ht="15">
      <c r="A32" s="705" t="s">
        <v>91</v>
      </c>
      <c r="B32" s="706"/>
      <c r="C32" s="706"/>
      <c r="D32" s="706"/>
      <c r="E32" s="706"/>
      <c r="F32" s="706"/>
      <c r="G32" s="706"/>
      <c r="H32" s="706"/>
      <c r="I32" s="707"/>
    </row>
    <row r="33" spans="1:9" ht="15">
      <c r="A33" s="260" t="s">
        <v>451</v>
      </c>
      <c r="B33" s="265">
        <v>310</v>
      </c>
      <c r="C33" s="262">
        <v>0</v>
      </c>
      <c r="D33" s="262">
        <v>0</v>
      </c>
      <c r="E33" s="262">
        <v>0</v>
      </c>
      <c r="F33" s="262">
        <v>0</v>
      </c>
      <c r="G33" s="262">
        <v>0</v>
      </c>
      <c r="H33" s="262">
        <v>0</v>
      </c>
      <c r="I33" s="262">
        <v>0</v>
      </c>
    </row>
    <row r="34" spans="1:9" ht="15">
      <c r="A34" s="705" t="s">
        <v>91</v>
      </c>
      <c r="B34" s="706"/>
      <c r="C34" s="706"/>
      <c r="D34" s="706"/>
      <c r="E34" s="706"/>
      <c r="F34" s="706"/>
      <c r="G34" s="706"/>
      <c r="H34" s="706"/>
      <c r="I34" s="707"/>
    </row>
    <row r="35" spans="1:9" ht="15">
      <c r="A35" s="260" t="s">
        <v>452</v>
      </c>
      <c r="B35" s="265" t="s">
        <v>453</v>
      </c>
      <c r="C35" s="277"/>
      <c r="D35" s="277"/>
      <c r="E35" s="277"/>
      <c r="F35" s="277"/>
      <c r="G35" s="277"/>
      <c r="H35" s="277"/>
      <c r="I35" s="262">
        <v>0</v>
      </c>
    </row>
    <row r="36" spans="1:9" ht="24">
      <c r="A36" s="260" t="s">
        <v>454</v>
      </c>
      <c r="B36" s="265" t="s">
        <v>453</v>
      </c>
      <c r="C36" s="277"/>
      <c r="D36" s="277"/>
      <c r="E36" s="277"/>
      <c r="F36" s="277"/>
      <c r="G36" s="277"/>
      <c r="H36" s="277"/>
      <c r="I36" s="262">
        <v>0</v>
      </c>
    </row>
    <row r="37" spans="1:9" ht="24">
      <c r="A37" s="260" t="s">
        <v>455</v>
      </c>
      <c r="B37" s="265" t="s">
        <v>453</v>
      </c>
      <c r="C37" s="277"/>
      <c r="D37" s="277"/>
      <c r="E37" s="277"/>
      <c r="F37" s="277"/>
      <c r="G37" s="277"/>
      <c r="H37" s="277"/>
      <c r="I37" s="262">
        <v>0</v>
      </c>
    </row>
    <row r="38" spans="1:9" ht="15" hidden="1">
      <c r="A38" s="708" t="s">
        <v>432</v>
      </c>
      <c r="B38" s="708" t="s">
        <v>433</v>
      </c>
      <c r="C38" s="710" t="s">
        <v>434</v>
      </c>
      <c r="D38" s="711"/>
      <c r="E38" s="711"/>
      <c r="F38" s="711"/>
      <c r="G38" s="712"/>
      <c r="H38" s="708" t="s">
        <v>62</v>
      </c>
      <c r="I38" s="708" t="s">
        <v>435</v>
      </c>
    </row>
    <row r="39" spans="1:9" ht="48" hidden="1">
      <c r="A39" s="709"/>
      <c r="B39" s="709"/>
      <c r="C39" s="306" t="s">
        <v>55</v>
      </c>
      <c r="D39" s="306" t="s">
        <v>56</v>
      </c>
      <c r="E39" s="306" t="s">
        <v>57</v>
      </c>
      <c r="F39" s="306" t="s">
        <v>59</v>
      </c>
      <c r="G39" s="306" t="s">
        <v>436</v>
      </c>
      <c r="H39" s="709"/>
      <c r="I39" s="709"/>
    </row>
    <row r="40" spans="1:9" ht="15">
      <c r="A40" s="260" t="s">
        <v>456</v>
      </c>
      <c r="B40" s="265">
        <v>311</v>
      </c>
      <c r="C40" s="277"/>
      <c r="D40" s="277"/>
      <c r="E40" s="277"/>
      <c r="F40" s="277"/>
      <c r="G40" s="277"/>
      <c r="H40" s="277"/>
      <c r="I40" s="262">
        <v>0</v>
      </c>
    </row>
    <row r="41" spans="1:9" ht="15">
      <c r="A41" s="260" t="s">
        <v>457</v>
      </c>
      <c r="B41" s="265">
        <v>312</v>
      </c>
      <c r="C41" s="277"/>
      <c r="D41" s="277"/>
      <c r="E41" s="277"/>
      <c r="F41" s="277"/>
      <c r="G41" s="277"/>
      <c r="H41" s="277"/>
      <c r="I41" s="262">
        <v>0</v>
      </c>
    </row>
    <row r="42" spans="1:9" ht="24">
      <c r="A42" s="260" t="s">
        <v>458</v>
      </c>
      <c r="B42" s="265">
        <v>313</v>
      </c>
      <c r="C42" s="277"/>
      <c r="D42" s="277"/>
      <c r="E42" s="277"/>
      <c r="F42" s="277"/>
      <c r="G42" s="277"/>
      <c r="H42" s="277"/>
      <c r="I42" s="262">
        <v>0</v>
      </c>
    </row>
    <row r="43" spans="1:9" ht="24">
      <c r="A43" s="260" t="s">
        <v>459</v>
      </c>
      <c r="B43" s="265">
        <v>314</v>
      </c>
      <c r="C43" s="277"/>
      <c r="D43" s="277"/>
      <c r="E43" s="277"/>
      <c r="F43" s="277"/>
      <c r="G43" s="277"/>
      <c r="H43" s="277"/>
      <c r="I43" s="262">
        <v>0</v>
      </c>
    </row>
    <row r="44" spans="1:9" ht="15">
      <c r="A44" s="260" t="s">
        <v>460</v>
      </c>
      <c r="B44" s="265">
        <v>315</v>
      </c>
      <c r="C44" s="277"/>
      <c r="D44" s="277"/>
      <c r="E44" s="277"/>
      <c r="F44" s="277"/>
      <c r="G44" s="277"/>
      <c r="H44" s="277"/>
      <c r="I44" s="262">
        <v>0</v>
      </c>
    </row>
    <row r="45" spans="1:9" ht="15">
      <c r="A45" s="260" t="s">
        <v>461</v>
      </c>
      <c r="B45" s="265">
        <v>316</v>
      </c>
      <c r="C45" s="277"/>
      <c r="D45" s="277"/>
      <c r="E45" s="277"/>
      <c r="F45" s="277"/>
      <c r="G45" s="277"/>
      <c r="H45" s="277"/>
      <c r="I45" s="262">
        <v>0</v>
      </c>
    </row>
    <row r="46" spans="1:9" ht="29.25" customHeight="1">
      <c r="A46" s="260" t="s">
        <v>462</v>
      </c>
      <c r="B46" s="265">
        <v>317</v>
      </c>
      <c r="C46" s="277"/>
      <c r="D46" s="277"/>
      <c r="E46" s="277"/>
      <c r="F46" s="302">
        <v>-196211</v>
      </c>
      <c r="G46" s="303"/>
      <c r="H46" s="277"/>
      <c r="I46" s="262">
        <v>0</v>
      </c>
    </row>
    <row r="47" spans="1:9" ht="29.25" customHeight="1">
      <c r="A47" s="260" t="s">
        <v>463</v>
      </c>
      <c r="B47" s="265">
        <v>318</v>
      </c>
      <c r="C47" s="277"/>
      <c r="D47" s="277"/>
      <c r="E47" s="277"/>
      <c r="F47" s="277"/>
      <c r="G47" s="277">
        <v>-1</v>
      </c>
      <c r="H47" s="277"/>
      <c r="I47" s="262">
        <v>0</v>
      </c>
    </row>
    <row r="48" spans="1:10" ht="29.25" customHeight="1">
      <c r="A48" s="263" t="s">
        <v>496</v>
      </c>
      <c r="B48" s="259">
        <v>400</v>
      </c>
      <c r="C48" s="264">
        <f>C17</f>
        <v>1146250</v>
      </c>
      <c r="D48" s="264">
        <f>D17</f>
        <v>0</v>
      </c>
      <c r="E48" s="264">
        <f>E17</f>
        <v>0</v>
      </c>
      <c r="F48" s="31">
        <f>F17+F22+F46</f>
        <v>-399406</v>
      </c>
      <c r="G48" s="264">
        <f>G17+G19+G22+G23+G24</f>
        <v>2979248</v>
      </c>
      <c r="H48" s="264">
        <f>H17</f>
        <v>0</v>
      </c>
      <c r="I48" s="264">
        <f>SUM(C48:H48)</f>
        <v>3726092</v>
      </c>
      <c r="J48" s="614"/>
    </row>
    <row r="49" spans="1:10" ht="36">
      <c r="A49" s="263" t="s">
        <v>498</v>
      </c>
      <c r="B49" s="259">
        <v>400</v>
      </c>
      <c r="C49" s="264">
        <v>1146250</v>
      </c>
      <c r="D49" s="264">
        <f>D18</f>
        <v>0</v>
      </c>
      <c r="E49" s="264">
        <f>E18</f>
        <v>0</v>
      </c>
      <c r="F49" s="31">
        <v>0</v>
      </c>
      <c r="G49" s="31">
        <v>1697419</v>
      </c>
      <c r="H49" s="264">
        <f>H18</f>
        <v>0</v>
      </c>
      <c r="I49" s="264" t="s">
        <v>872</v>
      </c>
      <c r="J49" s="614"/>
    </row>
    <row r="50" spans="1:9" ht="15">
      <c r="A50" s="260" t="s">
        <v>437</v>
      </c>
      <c r="B50" s="265">
        <v>401</v>
      </c>
      <c r="C50" s="277"/>
      <c r="D50" s="277"/>
      <c r="E50" s="277"/>
      <c r="F50" s="31"/>
      <c r="G50" s="277">
        <v>0</v>
      </c>
      <c r="H50" s="277"/>
      <c r="I50" s="264">
        <f>C50+F50+G50</f>
        <v>0</v>
      </c>
    </row>
    <row r="51" spans="1:9" ht="30" customHeight="1">
      <c r="A51" s="263" t="s">
        <v>464</v>
      </c>
      <c r="B51" s="259">
        <v>500</v>
      </c>
      <c r="C51" s="264">
        <f>C49</f>
        <v>1146250</v>
      </c>
      <c r="D51" s="264">
        <f>D49</f>
        <v>0</v>
      </c>
      <c r="E51" s="264">
        <f>E49</f>
        <v>0</v>
      </c>
      <c r="F51" s="31">
        <f>F49</f>
        <v>0</v>
      </c>
      <c r="G51" s="304">
        <f>G49+G50</f>
        <v>1697419</v>
      </c>
      <c r="H51" s="264">
        <f>H49</f>
        <v>0</v>
      </c>
      <c r="I51" s="264">
        <f>C51+F51+G51</f>
        <v>2843669</v>
      </c>
    </row>
    <row r="52" spans="1:9" ht="24">
      <c r="A52" s="263" t="s">
        <v>465</v>
      </c>
      <c r="B52" s="259">
        <v>600</v>
      </c>
      <c r="C52" s="264">
        <f>C53+C54</f>
        <v>0</v>
      </c>
      <c r="D52" s="264">
        <f>D53+D54</f>
        <v>0</v>
      </c>
      <c r="E52" s="264">
        <f>E53+E54</f>
        <v>0</v>
      </c>
      <c r="F52" s="31">
        <f>F53+F54</f>
        <v>0</v>
      </c>
      <c r="G52" s="264">
        <f>G53+G54</f>
        <v>160025</v>
      </c>
      <c r="H52" s="264">
        <v>0</v>
      </c>
      <c r="I52" s="264">
        <f>C52+F52+G52</f>
        <v>160025</v>
      </c>
    </row>
    <row r="53" spans="1:9" ht="15">
      <c r="A53" s="260" t="s">
        <v>441</v>
      </c>
      <c r="B53" s="265">
        <v>610</v>
      </c>
      <c r="C53" s="277"/>
      <c r="D53" s="277"/>
      <c r="E53" s="277"/>
      <c r="F53" s="31"/>
      <c r="G53" s="276">
        <v>160025</v>
      </c>
      <c r="H53" s="277"/>
      <c r="I53" s="262">
        <f>G53+H53+F53+C53</f>
        <v>160025</v>
      </c>
    </row>
    <row r="54" spans="1:9" ht="24">
      <c r="A54" s="260" t="s">
        <v>466</v>
      </c>
      <c r="B54" s="265">
        <v>620</v>
      </c>
      <c r="C54" s="262">
        <v>0</v>
      </c>
      <c r="D54" s="262">
        <v>0</v>
      </c>
      <c r="E54" s="262">
        <v>0</v>
      </c>
      <c r="F54" s="516">
        <f>SUM(F56:F63,F66)</f>
        <v>0</v>
      </c>
      <c r="G54" s="516">
        <f>SUM(G56:G63,G66)</f>
        <v>0</v>
      </c>
      <c r="H54" s="262">
        <v>0</v>
      </c>
      <c r="I54" s="262">
        <f>F54+G54</f>
        <v>0</v>
      </c>
    </row>
    <row r="55" spans="1:9" ht="15">
      <c r="A55" s="705" t="s">
        <v>91</v>
      </c>
      <c r="B55" s="706"/>
      <c r="C55" s="706"/>
      <c r="D55" s="706"/>
      <c r="E55" s="706"/>
      <c r="F55" s="706"/>
      <c r="G55" s="706"/>
      <c r="H55" s="706"/>
      <c r="I55" s="707"/>
    </row>
    <row r="56" spans="1:9" ht="27.75" customHeight="1">
      <c r="A56" s="260" t="s">
        <v>811</v>
      </c>
      <c r="B56" s="265">
        <v>621</v>
      </c>
      <c r="C56" s="277"/>
      <c r="D56" s="277"/>
      <c r="E56" s="277"/>
      <c r="F56" s="516">
        <v>0</v>
      </c>
      <c r="G56" s="516">
        <v>0</v>
      </c>
      <c r="H56" s="277"/>
      <c r="I56" s="262">
        <v>0</v>
      </c>
    </row>
    <row r="57" spans="1:9" ht="15">
      <c r="A57" s="260" t="s">
        <v>812</v>
      </c>
      <c r="B57" s="265">
        <v>622</v>
      </c>
      <c r="C57" s="277"/>
      <c r="D57" s="277"/>
      <c r="E57" s="277"/>
      <c r="F57" s="516"/>
      <c r="G57" s="516">
        <v>0</v>
      </c>
      <c r="H57" s="277"/>
      <c r="I57" s="262">
        <f>F57+G57</f>
        <v>0</v>
      </c>
    </row>
    <row r="58" spans="1:9" ht="36">
      <c r="A58" s="260" t="s">
        <v>443</v>
      </c>
      <c r="B58" s="265">
        <v>623</v>
      </c>
      <c r="C58" s="277"/>
      <c r="D58" s="277"/>
      <c r="E58" s="277"/>
      <c r="F58" s="277"/>
      <c r="G58" s="516">
        <v>0</v>
      </c>
      <c r="H58" s="277"/>
      <c r="I58" s="262">
        <v>0</v>
      </c>
    </row>
    <row r="59" spans="1:9" ht="48">
      <c r="A59" s="260" t="s">
        <v>444</v>
      </c>
      <c r="B59" s="265">
        <v>624</v>
      </c>
      <c r="C59" s="277"/>
      <c r="D59" s="277"/>
      <c r="E59" s="277"/>
      <c r="F59" s="277"/>
      <c r="G59" s="277"/>
      <c r="H59" s="277"/>
      <c r="I59" s="262">
        <v>0</v>
      </c>
    </row>
    <row r="60" spans="1:9" ht="24" hidden="1">
      <c r="A60" s="260" t="s">
        <v>445</v>
      </c>
      <c r="B60" s="265">
        <v>625</v>
      </c>
      <c r="C60" s="277"/>
      <c r="D60" s="277"/>
      <c r="E60" s="277"/>
      <c r="F60" s="277"/>
      <c r="G60" s="277"/>
      <c r="H60" s="277"/>
      <c r="I60" s="262">
        <v>0</v>
      </c>
    </row>
    <row r="61" spans="1:9" ht="24" hidden="1">
      <c r="A61" s="260" t="s">
        <v>467</v>
      </c>
      <c r="B61" s="265">
        <v>626</v>
      </c>
      <c r="C61" s="277"/>
      <c r="D61" s="277"/>
      <c r="E61" s="277"/>
      <c r="F61" s="277"/>
      <c r="G61" s="277"/>
      <c r="H61" s="277"/>
      <c r="I61" s="262">
        <v>0</v>
      </c>
    </row>
    <row r="62" spans="1:9" ht="24" hidden="1">
      <c r="A62" s="260" t="s">
        <v>447</v>
      </c>
      <c r="B62" s="265">
        <v>627</v>
      </c>
      <c r="C62" s="277"/>
      <c r="D62" s="277"/>
      <c r="E62" s="277"/>
      <c r="F62" s="277"/>
      <c r="G62" s="277"/>
      <c r="H62" s="277"/>
      <c r="I62" s="262">
        <v>0</v>
      </c>
    </row>
    <row r="63" spans="1:9" ht="24" hidden="1">
      <c r="A63" s="260" t="s">
        <v>448</v>
      </c>
      <c r="B63" s="265">
        <v>628</v>
      </c>
      <c r="C63" s="277"/>
      <c r="D63" s="277"/>
      <c r="E63" s="277"/>
      <c r="F63" s="277"/>
      <c r="G63" s="277"/>
      <c r="H63" s="277"/>
      <c r="I63" s="262">
        <v>0</v>
      </c>
    </row>
    <row r="64" spans="1:9" ht="15">
      <c r="A64" s="708" t="s">
        <v>432</v>
      </c>
      <c r="B64" s="708" t="s">
        <v>433</v>
      </c>
      <c r="C64" s="710" t="s">
        <v>434</v>
      </c>
      <c r="D64" s="711"/>
      <c r="E64" s="711"/>
      <c r="F64" s="711"/>
      <c r="G64" s="712"/>
      <c r="H64" s="708" t="s">
        <v>62</v>
      </c>
      <c r="I64" s="708" t="s">
        <v>435</v>
      </c>
    </row>
    <row r="65" spans="1:9" ht="48">
      <c r="A65" s="709"/>
      <c r="B65" s="709"/>
      <c r="C65" s="306" t="s">
        <v>55</v>
      </c>
      <c r="D65" s="306" t="s">
        <v>56</v>
      </c>
      <c r="E65" s="306" t="s">
        <v>57</v>
      </c>
      <c r="F65" s="306" t="s">
        <v>59</v>
      </c>
      <c r="G65" s="306" t="s">
        <v>436</v>
      </c>
      <c r="H65" s="709"/>
      <c r="I65" s="709"/>
    </row>
    <row r="66" spans="1:9" ht="24">
      <c r="A66" s="260" t="s">
        <v>449</v>
      </c>
      <c r="B66" s="265">
        <v>629</v>
      </c>
      <c r="C66" s="277"/>
      <c r="D66" s="277"/>
      <c r="E66" s="277"/>
      <c r="F66" s="277"/>
      <c r="G66" s="277"/>
      <c r="H66" s="277"/>
      <c r="I66" s="262">
        <v>0</v>
      </c>
    </row>
    <row r="67" spans="1:9" ht="24">
      <c r="A67" s="263" t="s">
        <v>468</v>
      </c>
      <c r="B67" s="259">
        <v>700</v>
      </c>
      <c r="C67" s="264">
        <v>0</v>
      </c>
      <c r="D67" s="264">
        <v>0</v>
      </c>
      <c r="E67" s="264">
        <v>0</v>
      </c>
      <c r="F67" s="264">
        <v>0</v>
      </c>
      <c r="G67" s="264">
        <v>0</v>
      </c>
      <c r="H67" s="264">
        <v>0</v>
      </c>
      <c r="I67" s="264">
        <v>0</v>
      </c>
    </row>
    <row r="68" spans="1:9" ht="15">
      <c r="A68" s="705" t="s">
        <v>91</v>
      </c>
      <c r="B68" s="706"/>
      <c r="C68" s="706"/>
      <c r="D68" s="706"/>
      <c r="E68" s="706"/>
      <c r="F68" s="706"/>
      <c r="G68" s="706"/>
      <c r="H68" s="706"/>
      <c r="I68" s="707"/>
    </row>
    <row r="69" spans="1:9" ht="15">
      <c r="A69" s="260" t="s">
        <v>469</v>
      </c>
      <c r="B69" s="265">
        <v>710</v>
      </c>
      <c r="C69" s="262">
        <v>0</v>
      </c>
      <c r="D69" s="262">
        <v>0</v>
      </c>
      <c r="E69" s="262">
        <v>0</v>
      </c>
      <c r="F69" s="262">
        <v>0</v>
      </c>
      <c r="G69" s="262">
        <v>0</v>
      </c>
      <c r="H69" s="262">
        <v>0</v>
      </c>
      <c r="I69" s="262">
        <v>0</v>
      </c>
    </row>
    <row r="70" spans="1:9" ht="15">
      <c r="A70" s="705" t="s">
        <v>91</v>
      </c>
      <c r="B70" s="706"/>
      <c r="C70" s="706"/>
      <c r="D70" s="706"/>
      <c r="E70" s="706"/>
      <c r="F70" s="706"/>
      <c r="G70" s="706"/>
      <c r="H70" s="706"/>
      <c r="I70" s="707"/>
    </row>
    <row r="71" spans="1:9" ht="15">
      <c r="A71" s="260" t="s">
        <v>452</v>
      </c>
      <c r="B71" s="265" t="s">
        <v>453</v>
      </c>
      <c r="C71" s="277"/>
      <c r="D71" s="277"/>
      <c r="E71" s="277"/>
      <c r="F71" s="277"/>
      <c r="G71" s="277"/>
      <c r="H71" s="277"/>
      <c r="I71" s="262">
        <v>0</v>
      </c>
    </row>
    <row r="72" spans="1:9" ht="24">
      <c r="A72" s="260" t="s">
        <v>454</v>
      </c>
      <c r="B72" s="265" t="s">
        <v>453</v>
      </c>
      <c r="C72" s="277"/>
      <c r="D72" s="277"/>
      <c r="E72" s="277"/>
      <c r="F72" s="277"/>
      <c r="G72" s="277"/>
      <c r="H72" s="277"/>
      <c r="I72" s="262">
        <v>0</v>
      </c>
    </row>
    <row r="73" spans="1:9" ht="24">
      <c r="A73" s="260" t="s">
        <v>455</v>
      </c>
      <c r="B73" s="265" t="s">
        <v>453</v>
      </c>
      <c r="C73" s="277"/>
      <c r="D73" s="277"/>
      <c r="E73" s="277"/>
      <c r="F73" s="277"/>
      <c r="G73" s="277"/>
      <c r="H73" s="277"/>
      <c r="I73" s="262">
        <v>0</v>
      </c>
    </row>
    <row r="74" spans="1:9" ht="15">
      <c r="A74" s="260" t="s">
        <v>456</v>
      </c>
      <c r="B74" s="265">
        <v>711</v>
      </c>
      <c r="C74" s="277"/>
      <c r="D74" s="277"/>
      <c r="E74" s="277"/>
      <c r="F74" s="277"/>
      <c r="G74" s="277"/>
      <c r="H74" s="277"/>
      <c r="I74" s="262">
        <v>0</v>
      </c>
    </row>
    <row r="75" spans="1:9" ht="15">
      <c r="A75" s="260" t="s">
        <v>457</v>
      </c>
      <c r="B75" s="265">
        <v>712</v>
      </c>
      <c r="C75" s="277"/>
      <c r="D75" s="277"/>
      <c r="E75" s="277"/>
      <c r="F75" s="277"/>
      <c r="G75" s="277"/>
      <c r="H75" s="277"/>
      <c r="I75" s="262">
        <v>0</v>
      </c>
    </row>
    <row r="76" spans="1:9" ht="24">
      <c r="A76" s="260" t="s">
        <v>470</v>
      </c>
      <c r="B76" s="265">
        <v>713</v>
      </c>
      <c r="C76" s="277"/>
      <c r="D76" s="277"/>
      <c r="E76" s="277"/>
      <c r="F76" s="277"/>
      <c r="G76" s="277"/>
      <c r="H76" s="277"/>
      <c r="I76" s="262">
        <v>0</v>
      </c>
    </row>
    <row r="77" spans="1:9" ht="24">
      <c r="A77" s="260" t="s">
        <v>459</v>
      </c>
      <c r="B77" s="265">
        <v>714</v>
      </c>
      <c r="C77" s="277"/>
      <c r="D77" s="277"/>
      <c r="E77" s="277"/>
      <c r="F77" s="277"/>
      <c r="G77" s="277"/>
      <c r="H77" s="277"/>
      <c r="I77" s="262">
        <v>0</v>
      </c>
    </row>
    <row r="78" spans="1:9" ht="15">
      <c r="A78" s="260" t="s">
        <v>460</v>
      </c>
      <c r="B78" s="265">
        <v>715</v>
      </c>
      <c r="C78" s="277"/>
      <c r="D78" s="277"/>
      <c r="E78" s="277"/>
      <c r="F78" s="277"/>
      <c r="G78" s="277"/>
      <c r="H78" s="277"/>
      <c r="I78" s="262">
        <v>0</v>
      </c>
    </row>
    <row r="79" spans="1:9" ht="15">
      <c r="A79" s="260" t="s">
        <v>461</v>
      </c>
      <c r="B79" s="265">
        <v>716</v>
      </c>
      <c r="C79" s="277"/>
      <c r="D79" s="277"/>
      <c r="E79" s="277"/>
      <c r="F79" s="277"/>
      <c r="G79" s="277"/>
      <c r="H79" s="277"/>
      <c r="I79" s="262">
        <v>0</v>
      </c>
    </row>
    <row r="80" spans="1:9" ht="15">
      <c r="A80" s="260" t="s">
        <v>462</v>
      </c>
      <c r="B80" s="265">
        <v>717</v>
      </c>
      <c r="C80" s="277"/>
      <c r="D80" s="277"/>
      <c r="E80" s="277"/>
      <c r="H80" s="277"/>
      <c r="I80" s="262">
        <v>0</v>
      </c>
    </row>
    <row r="81" spans="1:9" ht="24">
      <c r="A81" s="260" t="s">
        <v>463</v>
      </c>
      <c r="B81" s="265">
        <v>718</v>
      </c>
      <c r="C81" s="277"/>
      <c r="D81" s="277"/>
      <c r="E81" s="277"/>
      <c r="F81" s="277"/>
      <c r="G81" s="277"/>
      <c r="H81" s="277"/>
      <c r="I81" s="262">
        <v>0</v>
      </c>
    </row>
    <row r="82" spans="1:10" ht="30.75" customHeight="1">
      <c r="A82" s="263" t="s">
        <v>497</v>
      </c>
      <c r="B82" s="259">
        <v>800</v>
      </c>
      <c r="C82" s="264">
        <v>1146250</v>
      </c>
      <c r="D82" s="264">
        <v>0</v>
      </c>
      <c r="E82" s="264">
        <v>0</v>
      </c>
      <c r="F82" s="278">
        <v>0</v>
      </c>
      <c r="G82" s="278">
        <f>G51+G52</f>
        <v>1857444</v>
      </c>
      <c r="H82" s="264">
        <v>0</v>
      </c>
      <c r="I82" s="264">
        <f>SUM(C82:H82)</f>
        <v>3003694</v>
      </c>
      <c r="J82" s="266"/>
    </row>
    <row r="83" spans="1:10" ht="15">
      <c r="A83" s="279"/>
      <c r="B83" s="280"/>
      <c r="C83" s="270"/>
      <c r="D83" s="270"/>
      <c r="E83" s="270"/>
      <c r="F83" s="281"/>
      <c r="G83" s="270"/>
      <c r="H83" s="270"/>
      <c r="I83" s="270"/>
      <c r="J83" s="266"/>
    </row>
    <row r="84" spans="1:9" ht="15">
      <c r="A84" s="254" t="s">
        <v>453</v>
      </c>
      <c r="B84" s="254" t="s">
        <v>453</v>
      </c>
      <c r="C84" s="254" t="s">
        <v>453</v>
      </c>
      <c r="D84" s="254" t="s">
        <v>453</v>
      </c>
      <c r="E84" s="254" t="s">
        <v>453</v>
      </c>
      <c r="F84" s="254" t="s">
        <v>453</v>
      </c>
      <c r="G84" s="254" t="s">
        <v>453</v>
      </c>
      <c r="H84" s="254" t="s">
        <v>453</v>
      </c>
      <c r="I84" s="254" t="s">
        <v>453</v>
      </c>
    </row>
    <row r="85" spans="1:9" ht="15.75">
      <c r="A85" s="120" t="s">
        <v>848</v>
      </c>
      <c r="B85" s="119"/>
      <c r="C85" s="120"/>
      <c r="D85" s="120"/>
      <c r="E85" s="267" t="s">
        <v>453</v>
      </c>
      <c r="F85" s="255"/>
      <c r="G85" s="255"/>
      <c r="H85" s="255"/>
      <c r="I85" s="255"/>
    </row>
    <row r="86" spans="1:9" ht="15.75">
      <c r="A86" s="119"/>
      <c r="B86" s="119"/>
      <c r="C86" s="120"/>
      <c r="D86" s="120"/>
      <c r="E86" s="267" t="s">
        <v>453</v>
      </c>
      <c r="F86" s="255"/>
      <c r="G86" s="255"/>
      <c r="H86" s="255"/>
      <c r="I86" s="255"/>
    </row>
    <row r="87" spans="1:9" ht="15.75">
      <c r="A87" s="120" t="s">
        <v>396</v>
      </c>
      <c r="B87" s="119"/>
      <c r="C87" s="120"/>
      <c r="D87" s="120"/>
      <c r="E87" s="267" t="s">
        <v>453</v>
      </c>
      <c r="F87" s="255"/>
      <c r="G87" s="255"/>
      <c r="H87" s="255"/>
      <c r="I87" s="255"/>
    </row>
    <row r="88" spans="1:9" ht="15">
      <c r="A88" s="268"/>
      <c r="B88" s="305" t="s">
        <v>453</v>
      </c>
      <c r="D88" s="269"/>
      <c r="E88" s="267" t="s">
        <v>453</v>
      </c>
      <c r="F88" s="255"/>
      <c r="G88" s="255"/>
      <c r="H88" s="255"/>
      <c r="I88" s="255"/>
    </row>
    <row r="89" spans="1:9" ht="15">
      <c r="A89" s="254" t="s">
        <v>472</v>
      </c>
      <c r="B89" s="254" t="s">
        <v>453</v>
      </c>
      <c r="C89" s="254" t="s">
        <v>453</v>
      </c>
      <c r="D89" s="254" t="s">
        <v>453</v>
      </c>
      <c r="E89" s="254" t="s">
        <v>453</v>
      </c>
      <c r="F89" s="254" t="s">
        <v>453</v>
      </c>
      <c r="G89" s="254" t="s">
        <v>453</v>
      </c>
      <c r="H89" s="254" t="s">
        <v>453</v>
      </c>
      <c r="I89" s="254" t="s">
        <v>453</v>
      </c>
    </row>
  </sheetData>
  <sheetProtection selectLockedCells="1" selectUnlockedCells="1"/>
  <mergeCells count="31">
    <mergeCell ref="H1:I1"/>
    <mergeCell ref="F11:I11"/>
    <mergeCell ref="B10:I10"/>
    <mergeCell ref="B7:E7"/>
    <mergeCell ref="A21:I21"/>
    <mergeCell ref="I13:I14"/>
    <mergeCell ref="B2:E2"/>
    <mergeCell ref="H13:H14"/>
    <mergeCell ref="B8:E8"/>
    <mergeCell ref="B3:E3"/>
    <mergeCell ref="B4:E4"/>
    <mergeCell ref="B6:E6"/>
    <mergeCell ref="B5:E5"/>
    <mergeCell ref="C13:G13"/>
    <mergeCell ref="C64:G64"/>
    <mergeCell ref="H64:H65"/>
    <mergeCell ref="B64:B65"/>
    <mergeCell ref="A13:A14"/>
    <mergeCell ref="A55:I55"/>
    <mergeCell ref="A34:I34"/>
    <mergeCell ref="B13:B14"/>
    <mergeCell ref="A32:I32"/>
    <mergeCell ref="A70:I70"/>
    <mergeCell ref="A38:A39"/>
    <mergeCell ref="B38:B39"/>
    <mergeCell ref="C38:G38"/>
    <mergeCell ref="H38:H39"/>
    <mergeCell ref="I38:I39"/>
    <mergeCell ref="I64:I65"/>
    <mergeCell ref="A68:I68"/>
    <mergeCell ref="A64:A65"/>
  </mergeCells>
  <printOptions/>
  <pageMargins left="0.9055118110236221" right="0.11811023622047245" top="0.35433070866141736" bottom="0.15748031496062992" header="0.11811023622047245" footer="0.11811023622047245"/>
  <pageSetup horizontalDpi="600" verticalDpi="600" orientation="portrait" paperSize="9" scale="71" r:id="rId1"/>
  <rowBreaks count="2" manualBreakCount="2">
    <brk id="63" max="8" man="1"/>
    <brk id="88" max="8" man="1"/>
  </rowBreaks>
</worksheet>
</file>

<file path=xl/worksheets/sheet7.xml><?xml version="1.0" encoding="utf-8"?>
<worksheet xmlns="http://schemas.openxmlformats.org/spreadsheetml/2006/main" xmlns:r="http://schemas.openxmlformats.org/officeDocument/2006/relationships">
  <dimension ref="A1:I100"/>
  <sheetViews>
    <sheetView view="pageBreakPreview" zoomScale="60" zoomScaleNormal="75"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A2" sqref="A2:H2"/>
    </sheetView>
  </sheetViews>
  <sheetFormatPr defaultColWidth="9.140625" defaultRowHeight="15"/>
  <cols>
    <col min="1" max="1" width="22.7109375" style="10" customWidth="1"/>
    <col min="2" max="2" width="6.7109375" style="10" customWidth="1"/>
    <col min="3" max="3" width="18.28125" style="10" customWidth="1"/>
    <col min="4" max="4" width="8.57421875" style="10" customWidth="1"/>
    <col min="5" max="6" width="12.28125" style="10" customWidth="1"/>
    <col min="7" max="8" width="13.421875" style="10" customWidth="1"/>
    <col min="9" max="9" width="15.8515625" style="10" customWidth="1"/>
    <col min="10" max="16384" width="9.140625" style="10" customWidth="1"/>
  </cols>
  <sheetData>
    <row r="1" spans="1:9" ht="18.75">
      <c r="A1" s="647" t="s">
        <v>0</v>
      </c>
      <c r="B1" s="647"/>
      <c r="C1" s="647"/>
      <c r="D1" s="647"/>
      <c r="E1" s="647"/>
      <c r="F1" s="647"/>
      <c r="G1" s="647"/>
      <c r="H1" s="647"/>
      <c r="I1" s="13"/>
    </row>
    <row r="2" spans="1:9" ht="15">
      <c r="A2" s="757" t="s">
        <v>828</v>
      </c>
      <c r="B2" s="757"/>
      <c r="C2" s="757"/>
      <c r="D2" s="757"/>
      <c r="E2" s="757"/>
      <c r="F2" s="757"/>
      <c r="G2" s="757"/>
      <c r="H2" s="757"/>
      <c r="I2" s="14"/>
    </row>
    <row r="3" spans="1:9" ht="15">
      <c r="A3" s="757" t="s">
        <v>668</v>
      </c>
      <c r="B3" s="757"/>
      <c r="C3" s="757"/>
      <c r="D3" s="757"/>
      <c r="E3" s="757"/>
      <c r="F3" s="757"/>
      <c r="G3" s="757"/>
      <c r="H3" s="757"/>
      <c r="I3" s="14"/>
    </row>
    <row r="4" spans="1:8" ht="15">
      <c r="A4" s="15"/>
      <c r="B4" s="11"/>
      <c r="C4" s="11"/>
      <c r="D4" s="11"/>
      <c r="E4" s="11"/>
      <c r="F4" s="11"/>
      <c r="G4" s="11"/>
      <c r="H4" s="12" t="s">
        <v>1</v>
      </c>
    </row>
    <row r="5" spans="1:9" ht="57">
      <c r="A5" s="758" t="s">
        <v>2</v>
      </c>
      <c r="B5" s="759"/>
      <c r="C5" s="760"/>
      <c r="D5" s="536" t="s">
        <v>814</v>
      </c>
      <c r="E5" s="124" t="s">
        <v>140</v>
      </c>
      <c r="F5" s="124" t="s">
        <v>141</v>
      </c>
      <c r="G5" s="124" t="s">
        <v>142</v>
      </c>
      <c r="H5" s="124" t="s">
        <v>143</v>
      </c>
      <c r="I5" s="16"/>
    </row>
    <row r="6" spans="1:9" ht="15">
      <c r="A6" s="744" t="s">
        <v>166</v>
      </c>
      <c r="B6" s="744"/>
      <c r="C6" s="724"/>
      <c r="D6" s="563" t="s">
        <v>65</v>
      </c>
      <c r="E6" s="31">
        <f>E23</f>
        <v>1146250</v>
      </c>
      <c r="F6" s="31">
        <f>F23</f>
        <v>-984063</v>
      </c>
      <c r="G6" s="31">
        <f>G23</f>
        <v>3148625</v>
      </c>
      <c r="H6" s="31">
        <f>H23</f>
        <v>3310812</v>
      </c>
      <c r="I6" s="740" t="s">
        <v>145</v>
      </c>
    </row>
    <row r="7" spans="1:9" ht="15">
      <c r="A7" s="721" t="s">
        <v>771</v>
      </c>
      <c r="B7" s="722"/>
      <c r="C7" s="723"/>
      <c r="D7" s="564" t="s">
        <v>438</v>
      </c>
      <c r="E7" s="31"/>
      <c r="F7" s="31"/>
      <c r="G7" s="31"/>
      <c r="H7" s="31"/>
      <c r="I7" s="740"/>
    </row>
    <row r="8" spans="1:9" ht="15">
      <c r="A8" s="743" t="s">
        <v>146</v>
      </c>
      <c r="B8" s="743"/>
      <c r="C8" s="721"/>
      <c r="D8" s="565" t="s">
        <v>815</v>
      </c>
      <c r="E8" s="18"/>
      <c r="F8" s="18"/>
      <c r="G8" s="110">
        <f>231239</f>
        <v>231239</v>
      </c>
      <c r="H8" s="31">
        <f>SUM(E8:G8)</f>
        <v>231239</v>
      </c>
      <c r="I8" s="740"/>
    </row>
    <row r="9" spans="1:9" ht="15">
      <c r="A9" s="721" t="s">
        <v>772</v>
      </c>
      <c r="B9" s="722"/>
      <c r="C9" s="723"/>
      <c r="D9" s="564" t="s">
        <v>816</v>
      </c>
      <c r="E9" s="18"/>
      <c r="F9" s="18">
        <f>748520-3</f>
        <v>748517</v>
      </c>
      <c r="G9" s="110">
        <v>-411519</v>
      </c>
      <c r="H9" s="31">
        <f aca="true" t="shared" si="0" ref="H9:H23">SUM(E9:G9)</f>
        <v>336998</v>
      </c>
      <c r="I9" s="740"/>
    </row>
    <row r="10" spans="1:9" ht="15">
      <c r="A10" s="721" t="s">
        <v>773</v>
      </c>
      <c r="B10" s="722"/>
      <c r="C10" s="723"/>
      <c r="D10" s="564" t="s">
        <v>817</v>
      </c>
      <c r="E10" s="18"/>
      <c r="F10" s="18"/>
      <c r="G10" s="110"/>
      <c r="H10" s="31">
        <f t="shared" si="0"/>
        <v>0</v>
      </c>
      <c r="I10" s="740"/>
    </row>
    <row r="11" spans="1:9" ht="29.25" customHeight="1">
      <c r="A11" s="721" t="s">
        <v>774</v>
      </c>
      <c r="B11" s="722"/>
      <c r="C11" s="723"/>
      <c r="D11" s="564" t="s">
        <v>818</v>
      </c>
      <c r="E11" s="18"/>
      <c r="F11" s="18"/>
      <c r="G11" s="110">
        <v>-4940</v>
      </c>
      <c r="H11" s="31">
        <f t="shared" si="0"/>
        <v>-4940</v>
      </c>
      <c r="I11" s="740"/>
    </row>
    <row r="12" spans="1:9" ht="25.5" customHeight="1">
      <c r="A12" s="721" t="s">
        <v>775</v>
      </c>
      <c r="B12" s="722"/>
      <c r="C12" s="723"/>
      <c r="D12" s="564" t="s">
        <v>819</v>
      </c>
      <c r="E12" s="18"/>
      <c r="F12" s="18"/>
      <c r="G12" s="110">
        <v>8927</v>
      </c>
      <c r="H12" s="31">
        <f t="shared" si="0"/>
        <v>8927</v>
      </c>
      <c r="I12" s="740"/>
    </row>
    <row r="13" spans="1:9" ht="15">
      <c r="A13" s="743" t="s">
        <v>153</v>
      </c>
      <c r="B13" s="743"/>
      <c r="C13" s="721"/>
      <c r="D13" s="565" t="s">
        <v>820</v>
      </c>
      <c r="E13" s="19"/>
      <c r="F13" s="19"/>
      <c r="G13" s="20"/>
      <c r="H13" s="31">
        <f t="shared" si="0"/>
        <v>0</v>
      </c>
      <c r="I13" s="740"/>
    </row>
    <row r="14" spans="1:9" ht="15">
      <c r="A14" s="743" t="s">
        <v>148</v>
      </c>
      <c r="B14" s="743"/>
      <c r="C14" s="721"/>
      <c r="D14" s="565" t="s">
        <v>821</v>
      </c>
      <c r="E14" s="18"/>
      <c r="F14" s="18"/>
      <c r="G14" s="110"/>
      <c r="H14" s="31">
        <f t="shared" si="0"/>
        <v>0</v>
      </c>
      <c r="I14" s="740"/>
    </row>
    <row r="15" spans="1:9" ht="15">
      <c r="A15" s="744" t="s">
        <v>769</v>
      </c>
      <c r="B15" s="744"/>
      <c r="C15" s="724"/>
      <c r="D15" s="563" t="s">
        <v>67</v>
      </c>
      <c r="E15" s="31">
        <f>SUM(E6:E14)</f>
        <v>1146250</v>
      </c>
      <c r="F15" s="31">
        <f>SUM(F6:F14)</f>
        <v>-235546</v>
      </c>
      <c r="G15" s="31">
        <f>SUM(G6:G14)</f>
        <v>2972332</v>
      </c>
      <c r="H15" s="31">
        <f t="shared" si="0"/>
        <v>3883036</v>
      </c>
      <c r="I15" s="740"/>
    </row>
    <row r="16" spans="1:9" ht="15">
      <c r="A16" s="744" t="s">
        <v>144</v>
      </c>
      <c r="B16" s="744"/>
      <c r="C16" s="724"/>
      <c r="D16" s="563" t="s">
        <v>69</v>
      </c>
      <c r="E16" s="31">
        <v>1146250</v>
      </c>
      <c r="F16" s="31">
        <v>-774048</v>
      </c>
      <c r="G16" s="31">
        <v>2500110</v>
      </c>
      <c r="H16" s="31">
        <f t="shared" si="0"/>
        <v>2872312</v>
      </c>
      <c r="I16" s="740"/>
    </row>
    <row r="17" spans="1:9" ht="15">
      <c r="A17" s="721" t="s">
        <v>771</v>
      </c>
      <c r="B17" s="722"/>
      <c r="C17" s="723"/>
      <c r="D17" s="564" t="s">
        <v>822</v>
      </c>
      <c r="E17" s="31"/>
      <c r="F17" s="31"/>
      <c r="G17" s="516">
        <v>2991</v>
      </c>
      <c r="H17" s="31">
        <f t="shared" si="0"/>
        <v>2991</v>
      </c>
      <c r="I17" s="740"/>
    </row>
    <row r="18" spans="1:9" ht="15">
      <c r="A18" s="743" t="s">
        <v>146</v>
      </c>
      <c r="B18" s="743"/>
      <c r="C18" s="721"/>
      <c r="D18" s="565" t="s">
        <v>823</v>
      </c>
      <c r="E18" s="17"/>
      <c r="F18" s="17"/>
      <c r="G18" s="17">
        <v>675114</v>
      </c>
      <c r="H18" s="31">
        <f t="shared" si="0"/>
        <v>675114</v>
      </c>
      <c r="I18" s="740"/>
    </row>
    <row r="19" spans="1:9" ht="15">
      <c r="A19" s="721" t="s">
        <v>772</v>
      </c>
      <c r="B19" s="722"/>
      <c r="C19" s="723"/>
      <c r="D19" s="564" t="s">
        <v>824</v>
      </c>
      <c r="E19" s="17"/>
      <c r="F19" s="17">
        <v>-210015</v>
      </c>
      <c r="G19" s="411"/>
      <c r="H19" s="31">
        <f t="shared" si="0"/>
        <v>-210015</v>
      </c>
      <c r="I19" s="740"/>
    </row>
    <row r="20" spans="1:9" ht="15">
      <c r="A20" s="721" t="s">
        <v>773</v>
      </c>
      <c r="B20" s="722"/>
      <c r="C20" s="723"/>
      <c r="D20" s="564" t="s">
        <v>825</v>
      </c>
      <c r="E20" s="17"/>
      <c r="F20" s="17"/>
      <c r="G20" s="17">
        <v>-29590</v>
      </c>
      <c r="H20" s="31">
        <f t="shared" si="0"/>
        <v>-29590</v>
      </c>
      <c r="I20" s="740"/>
    </row>
    <row r="21" spans="1:9" ht="15">
      <c r="A21" s="743" t="s">
        <v>153</v>
      </c>
      <c r="B21" s="743"/>
      <c r="C21" s="721"/>
      <c r="D21" s="565" t="s">
        <v>826</v>
      </c>
      <c r="E21" s="17"/>
      <c r="F21" s="17"/>
      <c r="G21" s="17"/>
      <c r="H21" s="31">
        <f t="shared" si="0"/>
        <v>0</v>
      </c>
      <c r="I21" s="740"/>
    </row>
    <row r="22" spans="1:9" ht="15">
      <c r="A22" s="743" t="s">
        <v>148</v>
      </c>
      <c r="B22" s="743"/>
      <c r="C22" s="721"/>
      <c r="D22" s="565" t="s">
        <v>827</v>
      </c>
      <c r="E22" s="17"/>
      <c r="F22" s="17"/>
      <c r="G22" s="17"/>
      <c r="H22" s="31">
        <f t="shared" si="0"/>
        <v>0</v>
      </c>
      <c r="I22" s="740"/>
    </row>
    <row r="23" spans="1:9" ht="15.75" thickBot="1">
      <c r="A23" s="745" t="s">
        <v>770</v>
      </c>
      <c r="B23" s="745"/>
      <c r="C23" s="727"/>
      <c r="D23" s="566" t="s">
        <v>70</v>
      </c>
      <c r="E23" s="114">
        <f>SUM(E16:E22)</f>
        <v>1146250</v>
      </c>
      <c r="F23" s="114">
        <f>SUM(F16:F22)</f>
        <v>-984063</v>
      </c>
      <c r="G23" s="114">
        <f>SUM(G16:G22)</f>
        <v>3148625</v>
      </c>
      <c r="H23" s="31">
        <f t="shared" si="0"/>
        <v>3310812</v>
      </c>
      <c r="I23" s="742"/>
    </row>
    <row r="24" spans="1:9" ht="15" hidden="1">
      <c r="A24" s="749" t="s">
        <v>144</v>
      </c>
      <c r="B24" s="749"/>
      <c r="C24" s="732"/>
      <c r="D24" s="362"/>
      <c r="E24" s="363">
        <f>E33</f>
        <v>95084</v>
      </c>
      <c r="F24" s="363">
        <f>F33</f>
        <v>32351</v>
      </c>
      <c r="G24" s="363">
        <f>G33</f>
        <v>-302435</v>
      </c>
      <c r="H24" s="363">
        <f>SUM(E24:G24)</f>
        <v>-175000</v>
      </c>
      <c r="I24" s="754" t="s">
        <v>152</v>
      </c>
    </row>
    <row r="25" spans="1:9" ht="15" hidden="1">
      <c r="A25" s="743" t="s">
        <v>146</v>
      </c>
      <c r="B25" s="743"/>
      <c r="C25" s="721"/>
      <c r="D25" s="355"/>
      <c r="E25" s="356"/>
      <c r="F25" s="364"/>
      <c r="G25" s="357">
        <v>195530</v>
      </c>
      <c r="H25" s="354">
        <f>SUM(G25)</f>
        <v>195530</v>
      </c>
      <c r="I25" s="755"/>
    </row>
    <row r="26" spans="1:9" ht="15" hidden="1">
      <c r="A26" s="743" t="s">
        <v>153</v>
      </c>
      <c r="B26" s="743"/>
      <c r="C26" s="721"/>
      <c r="D26" s="355"/>
      <c r="E26" s="358"/>
      <c r="F26" s="358"/>
      <c r="G26" s="359"/>
      <c r="H26" s="354">
        <f>SUM(G26)</f>
        <v>0</v>
      </c>
      <c r="I26" s="755"/>
    </row>
    <row r="27" spans="1:9" ht="15" hidden="1">
      <c r="A27" s="743" t="s">
        <v>148</v>
      </c>
      <c r="B27" s="743"/>
      <c r="C27" s="721"/>
      <c r="D27" s="355"/>
      <c r="E27" s="356">
        <v>0</v>
      </c>
      <c r="F27" s="356"/>
      <c r="G27" s="357"/>
      <c r="H27" s="354">
        <f>SUM(G27)</f>
        <v>0</v>
      </c>
      <c r="I27" s="755"/>
    </row>
    <row r="28" spans="1:9" ht="15" hidden="1">
      <c r="A28" s="744" t="s">
        <v>669</v>
      </c>
      <c r="B28" s="744"/>
      <c r="C28" s="724"/>
      <c r="D28" s="353"/>
      <c r="E28" s="354">
        <v>95084</v>
      </c>
      <c r="F28" s="354">
        <v>32351</v>
      </c>
      <c r="G28" s="354">
        <f>SUM(G24:G27)</f>
        <v>-106905</v>
      </c>
      <c r="H28" s="354">
        <f>SUM(H24:H27)</f>
        <v>20530</v>
      </c>
      <c r="I28" s="755"/>
    </row>
    <row r="29" spans="1:9" ht="15" hidden="1">
      <c r="A29" s="744" t="s">
        <v>670</v>
      </c>
      <c r="B29" s="744"/>
      <c r="C29" s="724"/>
      <c r="D29" s="353"/>
      <c r="E29" s="31">
        <v>10084</v>
      </c>
      <c r="F29" s="31">
        <v>32351</v>
      </c>
      <c r="G29" s="31">
        <v>-18690</v>
      </c>
      <c r="H29" s="31">
        <f>SUM(E29:G29)</f>
        <v>23745</v>
      </c>
      <c r="I29" s="755"/>
    </row>
    <row r="30" spans="1:9" ht="15" hidden="1">
      <c r="A30" s="743" t="s">
        <v>146</v>
      </c>
      <c r="B30" s="743"/>
      <c r="C30" s="721"/>
      <c r="D30" s="355"/>
      <c r="E30" s="17"/>
      <c r="F30" s="17"/>
      <c r="G30" s="17">
        <v>-283745</v>
      </c>
      <c r="H30" s="31">
        <f>SUM(E30:G30)</f>
        <v>-283745</v>
      </c>
      <c r="I30" s="755"/>
    </row>
    <row r="31" spans="1:9" ht="15" hidden="1">
      <c r="A31" s="743" t="s">
        <v>153</v>
      </c>
      <c r="B31" s="743"/>
      <c r="C31" s="721"/>
      <c r="D31" s="355"/>
      <c r="E31" s="17"/>
      <c r="F31" s="17"/>
      <c r="G31" s="17"/>
      <c r="H31" s="31">
        <f>SUM(E31:G31)</f>
        <v>0</v>
      </c>
      <c r="I31" s="755"/>
    </row>
    <row r="32" spans="1:9" ht="15" hidden="1">
      <c r="A32" s="743" t="s">
        <v>148</v>
      </c>
      <c r="B32" s="743"/>
      <c r="C32" s="721"/>
      <c r="D32" s="355"/>
      <c r="E32" s="17">
        <v>85000</v>
      </c>
      <c r="F32" s="17"/>
      <c r="G32" s="17"/>
      <c r="H32" s="31">
        <f>SUM(E32:G32)</f>
        <v>85000</v>
      </c>
      <c r="I32" s="755"/>
    </row>
    <row r="33" spans="1:9" ht="15.75" hidden="1" thickBot="1">
      <c r="A33" s="745" t="s">
        <v>671</v>
      </c>
      <c r="B33" s="745"/>
      <c r="C33" s="727"/>
      <c r="D33" s="360"/>
      <c r="E33" s="114">
        <f>SUM(E29:E32)</f>
        <v>95084</v>
      </c>
      <c r="F33" s="114">
        <f>SUM(F29:F32)</f>
        <v>32351</v>
      </c>
      <c r="G33" s="114">
        <f>SUM(G29:G32)</f>
        <v>-302435</v>
      </c>
      <c r="H33" s="114">
        <f>SUM(H29:H32)</f>
        <v>-175000</v>
      </c>
      <c r="I33" s="756"/>
    </row>
    <row r="34" spans="1:9" ht="15.75" hidden="1" thickBot="1">
      <c r="A34" s="750" t="s">
        <v>166</v>
      </c>
      <c r="B34" s="749"/>
      <c r="C34" s="732"/>
      <c r="D34" s="362"/>
      <c r="E34" s="363"/>
      <c r="F34" s="363"/>
      <c r="G34" s="363">
        <f>G43</f>
        <v>-1067</v>
      </c>
      <c r="H34" s="363">
        <f>SUM(G34)</f>
        <v>-1067</v>
      </c>
      <c r="I34" s="751" t="s">
        <v>154</v>
      </c>
    </row>
    <row r="35" spans="1:9" ht="15.75" hidden="1" thickBot="1">
      <c r="A35" s="747" t="s">
        <v>146</v>
      </c>
      <c r="B35" s="743"/>
      <c r="C35" s="721"/>
      <c r="D35" s="355"/>
      <c r="E35" s="356"/>
      <c r="F35" s="356"/>
      <c r="G35" s="357">
        <v>1067</v>
      </c>
      <c r="H35" s="363">
        <f aca="true" t="shared" si="1" ref="H35:H43">SUM(G35)</f>
        <v>1067</v>
      </c>
      <c r="I35" s="752"/>
    </row>
    <row r="36" spans="1:9" ht="15.75" hidden="1" thickBot="1">
      <c r="A36" s="747" t="s">
        <v>153</v>
      </c>
      <c r="B36" s="743"/>
      <c r="C36" s="721"/>
      <c r="D36" s="355"/>
      <c r="E36" s="358"/>
      <c r="F36" s="358"/>
      <c r="G36" s="359"/>
      <c r="H36" s="363">
        <f t="shared" si="1"/>
        <v>0</v>
      </c>
      <c r="I36" s="752"/>
    </row>
    <row r="37" spans="1:9" ht="15.75" hidden="1" thickBot="1">
      <c r="A37" s="747" t="s">
        <v>148</v>
      </c>
      <c r="B37" s="743"/>
      <c r="C37" s="721"/>
      <c r="D37" s="355"/>
      <c r="E37" s="356"/>
      <c r="F37" s="356"/>
      <c r="G37" s="357"/>
      <c r="H37" s="363">
        <f t="shared" si="1"/>
        <v>0</v>
      </c>
      <c r="I37" s="752"/>
    </row>
    <row r="38" spans="1:9" ht="15.75" hidden="1" thickBot="1">
      <c r="A38" s="746" t="s">
        <v>769</v>
      </c>
      <c r="B38" s="744"/>
      <c r="C38" s="724"/>
      <c r="D38" s="353"/>
      <c r="E38" s="354">
        <v>0</v>
      </c>
      <c r="F38" s="354">
        <v>0</v>
      </c>
      <c r="G38" s="354">
        <f>SUM(G34:G37)</f>
        <v>0</v>
      </c>
      <c r="H38" s="363">
        <f t="shared" si="1"/>
        <v>0</v>
      </c>
      <c r="I38" s="752"/>
    </row>
    <row r="39" spans="1:9" ht="15.75" hidden="1" thickBot="1">
      <c r="A39" s="746" t="s">
        <v>144</v>
      </c>
      <c r="B39" s="744"/>
      <c r="C39" s="724"/>
      <c r="D39" s="353"/>
      <c r="E39" s="31"/>
      <c r="F39" s="31"/>
      <c r="G39" s="31">
        <v>-2254</v>
      </c>
      <c r="H39" s="108">
        <f t="shared" si="1"/>
        <v>-2254</v>
      </c>
      <c r="I39" s="752"/>
    </row>
    <row r="40" spans="1:9" ht="15.75" hidden="1" thickBot="1">
      <c r="A40" s="747" t="s">
        <v>146</v>
      </c>
      <c r="B40" s="743"/>
      <c r="C40" s="721"/>
      <c r="D40" s="355"/>
      <c r="E40" s="17"/>
      <c r="F40" s="17"/>
      <c r="G40" s="17">
        <v>1187</v>
      </c>
      <c r="H40" s="108">
        <f t="shared" si="1"/>
        <v>1187</v>
      </c>
      <c r="I40" s="752"/>
    </row>
    <row r="41" spans="1:9" ht="15.75" hidden="1" thickBot="1">
      <c r="A41" s="747" t="s">
        <v>153</v>
      </c>
      <c r="B41" s="743"/>
      <c r="C41" s="721"/>
      <c r="D41" s="355"/>
      <c r="E41" s="17"/>
      <c r="F41" s="17"/>
      <c r="G41" s="17"/>
      <c r="H41" s="108">
        <f t="shared" si="1"/>
        <v>0</v>
      </c>
      <c r="I41" s="752"/>
    </row>
    <row r="42" spans="1:9" ht="15.75" hidden="1" thickBot="1">
      <c r="A42" s="747" t="s">
        <v>148</v>
      </c>
      <c r="B42" s="743"/>
      <c r="C42" s="721"/>
      <c r="D42" s="355"/>
      <c r="E42" s="17"/>
      <c r="F42" s="17"/>
      <c r="G42" s="17"/>
      <c r="H42" s="108">
        <f t="shared" si="1"/>
        <v>0</v>
      </c>
      <c r="I42" s="752"/>
    </row>
    <row r="43" spans="1:9" ht="15.75" hidden="1" thickBot="1">
      <c r="A43" s="748" t="s">
        <v>672</v>
      </c>
      <c r="B43" s="745"/>
      <c r="C43" s="727"/>
      <c r="D43" s="360"/>
      <c r="E43" s="114">
        <v>0</v>
      </c>
      <c r="F43" s="114">
        <v>0</v>
      </c>
      <c r="G43" s="114">
        <f>G39+G40</f>
        <v>-1067</v>
      </c>
      <c r="H43" s="108">
        <f t="shared" si="1"/>
        <v>-1067</v>
      </c>
      <c r="I43" s="753"/>
    </row>
    <row r="44" spans="1:9" ht="21.75" customHeight="1" hidden="1">
      <c r="A44" s="732" t="s">
        <v>144</v>
      </c>
      <c r="B44" s="733"/>
      <c r="C44" s="734"/>
      <c r="D44" s="538"/>
      <c r="E44" s="108"/>
      <c r="F44" s="108"/>
      <c r="G44" s="108"/>
      <c r="H44" s="108"/>
      <c r="I44" s="343" t="s">
        <v>155</v>
      </c>
    </row>
    <row r="45" spans="1:9" ht="17.25" customHeight="1" hidden="1">
      <c r="A45" s="721" t="s">
        <v>146</v>
      </c>
      <c r="B45" s="722"/>
      <c r="C45" s="723"/>
      <c r="D45" s="535"/>
      <c r="E45" s="18"/>
      <c r="F45" s="18"/>
      <c r="G45" s="110"/>
      <c r="H45" s="31">
        <v>0</v>
      </c>
      <c r="I45" s="344"/>
    </row>
    <row r="46" spans="1:9" ht="15" customHeight="1" hidden="1">
      <c r="A46" s="721" t="s">
        <v>153</v>
      </c>
      <c r="B46" s="722"/>
      <c r="C46" s="723"/>
      <c r="D46" s="535"/>
      <c r="E46" s="19"/>
      <c r="F46" s="19"/>
      <c r="G46" s="20"/>
      <c r="H46" s="31"/>
      <c r="I46" s="344"/>
    </row>
    <row r="47" spans="1:9" ht="20.25" customHeight="1" hidden="1">
      <c r="A47" s="721" t="s">
        <v>148</v>
      </c>
      <c r="B47" s="722"/>
      <c r="C47" s="723"/>
      <c r="D47" s="535"/>
      <c r="E47" s="18"/>
      <c r="F47" s="18"/>
      <c r="G47" s="110"/>
      <c r="H47" s="31"/>
      <c r="I47" s="344"/>
    </row>
    <row r="48" spans="1:9" ht="26.25" customHeight="1" hidden="1">
      <c r="A48" s="724" t="s">
        <v>669</v>
      </c>
      <c r="B48" s="725"/>
      <c r="C48" s="726"/>
      <c r="D48" s="539"/>
      <c r="E48" s="31">
        <v>0</v>
      </c>
      <c r="F48" s="31">
        <v>0</v>
      </c>
      <c r="G48" s="31">
        <v>0</v>
      </c>
      <c r="H48" s="31">
        <v>0</v>
      </c>
      <c r="I48" s="344"/>
    </row>
    <row r="49" spans="1:9" ht="24" customHeight="1" hidden="1">
      <c r="A49" s="724" t="s">
        <v>670</v>
      </c>
      <c r="B49" s="725"/>
      <c r="C49" s="726"/>
      <c r="D49" s="539"/>
      <c r="E49" s="31"/>
      <c r="F49" s="31"/>
      <c r="G49" s="31"/>
      <c r="H49" s="31"/>
      <c r="I49" s="344"/>
    </row>
    <row r="50" spans="1:9" ht="26.25" customHeight="1" hidden="1">
      <c r="A50" s="721" t="s">
        <v>146</v>
      </c>
      <c r="B50" s="722"/>
      <c r="C50" s="723"/>
      <c r="D50" s="535"/>
      <c r="E50" s="17"/>
      <c r="F50" s="17"/>
      <c r="G50" s="17"/>
      <c r="H50" s="31"/>
      <c r="I50" s="344"/>
    </row>
    <row r="51" spans="1:9" ht="13.5" customHeight="1" hidden="1">
      <c r="A51" s="721" t="s">
        <v>153</v>
      </c>
      <c r="B51" s="722"/>
      <c r="C51" s="723"/>
      <c r="D51" s="535"/>
      <c r="E51" s="17"/>
      <c r="F51" s="17"/>
      <c r="G51" s="17"/>
      <c r="H51" s="31"/>
      <c r="I51" s="344"/>
    </row>
    <row r="52" spans="1:9" ht="18.75" customHeight="1" hidden="1">
      <c r="A52" s="721" t="s">
        <v>148</v>
      </c>
      <c r="B52" s="722"/>
      <c r="C52" s="723"/>
      <c r="D52" s="535"/>
      <c r="E52" s="17"/>
      <c r="F52" s="17"/>
      <c r="G52" s="17"/>
      <c r="H52" s="31"/>
      <c r="I52" s="344"/>
    </row>
    <row r="53" spans="1:9" ht="26.25" customHeight="1" hidden="1" thickBot="1">
      <c r="A53" s="727" t="s">
        <v>671</v>
      </c>
      <c r="B53" s="728"/>
      <c r="C53" s="729"/>
      <c r="D53" s="540"/>
      <c r="E53" s="114"/>
      <c r="F53" s="114"/>
      <c r="G53" s="114"/>
      <c r="H53" s="114"/>
      <c r="I53" s="361"/>
    </row>
    <row r="54" spans="1:9" ht="15" hidden="1">
      <c r="A54" s="749" t="s">
        <v>166</v>
      </c>
      <c r="B54" s="749"/>
      <c r="C54" s="732"/>
      <c r="D54" s="362"/>
      <c r="E54" s="108">
        <v>-95084</v>
      </c>
      <c r="F54" s="108"/>
      <c r="G54" s="108"/>
      <c r="H54" s="108"/>
      <c r="I54" s="741" t="s">
        <v>157</v>
      </c>
    </row>
    <row r="55" spans="1:9" ht="15" hidden="1">
      <c r="A55" s="743" t="s">
        <v>146</v>
      </c>
      <c r="B55" s="743"/>
      <c r="C55" s="721"/>
      <c r="D55" s="355"/>
      <c r="E55" s="18"/>
      <c r="F55" s="18"/>
      <c r="G55" s="110"/>
      <c r="H55" s="31"/>
      <c r="I55" s="740"/>
    </row>
    <row r="56" spans="1:9" ht="15" hidden="1">
      <c r="A56" s="743" t="s">
        <v>153</v>
      </c>
      <c r="B56" s="743"/>
      <c r="C56" s="721"/>
      <c r="D56" s="355"/>
      <c r="E56" s="19"/>
      <c r="F56" s="19"/>
      <c r="G56" s="20"/>
      <c r="H56" s="31"/>
      <c r="I56" s="740"/>
    </row>
    <row r="57" spans="1:9" ht="15" hidden="1">
      <c r="A57" s="743" t="s">
        <v>148</v>
      </c>
      <c r="B57" s="743"/>
      <c r="C57" s="721"/>
      <c r="D57" s="355"/>
      <c r="E57" s="18"/>
      <c r="F57" s="18"/>
      <c r="G57" s="110"/>
      <c r="H57" s="31"/>
      <c r="I57" s="740"/>
    </row>
    <row r="58" spans="1:9" ht="15" hidden="1">
      <c r="A58" s="744" t="s">
        <v>769</v>
      </c>
      <c r="B58" s="744"/>
      <c r="C58" s="724"/>
      <c r="D58" s="353"/>
      <c r="E58" s="31">
        <v>-95084</v>
      </c>
      <c r="F58" s="31"/>
      <c r="G58" s="31"/>
      <c r="H58" s="31"/>
      <c r="I58" s="740"/>
    </row>
    <row r="59" spans="1:9" ht="15" hidden="1">
      <c r="A59" s="744" t="s">
        <v>144</v>
      </c>
      <c r="B59" s="744"/>
      <c r="C59" s="724"/>
      <c r="D59" s="353"/>
      <c r="E59" s="31">
        <v>-10084</v>
      </c>
      <c r="F59" s="31"/>
      <c r="G59" s="31"/>
      <c r="H59" s="31"/>
      <c r="I59" s="740"/>
    </row>
    <row r="60" spans="1:9" ht="15" hidden="1">
      <c r="A60" s="743" t="s">
        <v>146</v>
      </c>
      <c r="B60" s="743"/>
      <c r="C60" s="721"/>
      <c r="D60" s="355"/>
      <c r="E60" s="17"/>
      <c r="F60" s="17"/>
      <c r="G60" s="17"/>
      <c r="H60" s="31"/>
      <c r="I60" s="740"/>
    </row>
    <row r="61" spans="1:9" ht="15" hidden="1">
      <c r="A61" s="743" t="s">
        <v>153</v>
      </c>
      <c r="B61" s="743"/>
      <c r="C61" s="721"/>
      <c r="D61" s="355"/>
      <c r="E61" s="17"/>
      <c r="F61" s="17"/>
      <c r="G61" s="17"/>
      <c r="H61" s="31"/>
      <c r="I61" s="740"/>
    </row>
    <row r="62" spans="1:9" ht="15" hidden="1">
      <c r="A62" s="743" t="s">
        <v>148</v>
      </c>
      <c r="B62" s="743"/>
      <c r="C62" s="721"/>
      <c r="D62" s="355"/>
      <c r="E62" s="17">
        <v>-85000</v>
      </c>
      <c r="F62" s="17"/>
      <c r="G62" s="17"/>
      <c r="H62" s="31"/>
      <c r="I62" s="740"/>
    </row>
    <row r="63" spans="1:9" ht="15.75" hidden="1" thickBot="1">
      <c r="A63" s="745" t="s">
        <v>809</v>
      </c>
      <c r="B63" s="745"/>
      <c r="C63" s="727"/>
      <c r="D63" s="360"/>
      <c r="E63" s="114">
        <f>E59+E62</f>
        <v>-95084</v>
      </c>
      <c r="F63" s="114"/>
      <c r="G63" s="114"/>
      <c r="H63" s="114"/>
      <c r="I63" s="742"/>
    </row>
    <row r="64" spans="1:9" ht="25.5" customHeight="1" hidden="1">
      <c r="A64" s="732" t="s">
        <v>144</v>
      </c>
      <c r="B64" s="733"/>
      <c r="C64" s="734"/>
      <c r="D64" s="538"/>
      <c r="E64" s="108"/>
      <c r="F64" s="108"/>
      <c r="G64" s="108"/>
      <c r="H64" s="108"/>
      <c r="I64" s="343" t="s">
        <v>158</v>
      </c>
    </row>
    <row r="65" spans="1:9" ht="25.5" customHeight="1" hidden="1">
      <c r="A65" s="721" t="s">
        <v>146</v>
      </c>
      <c r="B65" s="722"/>
      <c r="C65" s="723"/>
      <c r="D65" s="535"/>
      <c r="E65" s="18"/>
      <c r="F65" s="18"/>
      <c r="G65" s="110"/>
      <c r="H65" s="31">
        <v>0</v>
      </c>
      <c r="I65" s="344"/>
    </row>
    <row r="66" spans="1:9" ht="18.75" hidden="1">
      <c r="A66" s="721" t="s">
        <v>153</v>
      </c>
      <c r="B66" s="722"/>
      <c r="C66" s="723"/>
      <c r="D66" s="535"/>
      <c r="E66" s="19"/>
      <c r="F66" s="19"/>
      <c r="G66" s="20"/>
      <c r="H66" s="31"/>
      <c r="I66" s="344"/>
    </row>
    <row r="67" spans="1:9" ht="25.5" customHeight="1" hidden="1">
      <c r="A67" s="721" t="s">
        <v>148</v>
      </c>
      <c r="B67" s="722"/>
      <c r="C67" s="723"/>
      <c r="D67" s="535"/>
      <c r="E67" s="18"/>
      <c r="F67" s="18"/>
      <c r="G67" s="110"/>
      <c r="H67" s="31"/>
      <c r="I67" s="344"/>
    </row>
    <row r="68" spans="1:9" ht="25.5" customHeight="1" hidden="1">
      <c r="A68" s="724" t="s">
        <v>669</v>
      </c>
      <c r="B68" s="725"/>
      <c r="C68" s="726"/>
      <c r="D68" s="539"/>
      <c r="E68" s="31">
        <v>0</v>
      </c>
      <c r="F68" s="31">
        <v>0</v>
      </c>
      <c r="G68" s="31">
        <v>0</v>
      </c>
      <c r="H68" s="31">
        <v>0</v>
      </c>
      <c r="I68" s="344"/>
    </row>
    <row r="69" spans="1:9" ht="25.5" customHeight="1" hidden="1">
      <c r="A69" s="724" t="s">
        <v>670</v>
      </c>
      <c r="B69" s="725"/>
      <c r="C69" s="726"/>
      <c r="D69" s="539"/>
      <c r="E69" s="31"/>
      <c r="F69" s="31"/>
      <c r="G69" s="31"/>
      <c r="H69" s="31"/>
      <c r="I69" s="344"/>
    </row>
    <row r="70" spans="1:9" ht="25.5" customHeight="1" hidden="1">
      <c r="A70" s="721" t="s">
        <v>146</v>
      </c>
      <c r="B70" s="722"/>
      <c r="C70" s="723"/>
      <c r="D70" s="535"/>
      <c r="E70" s="17"/>
      <c r="F70" s="17"/>
      <c r="G70" s="17"/>
      <c r="H70" s="31"/>
      <c r="I70" s="344"/>
    </row>
    <row r="71" spans="1:9" ht="18.75" hidden="1">
      <c r="A71" s="721" t="s">
        <v>153</v>
      </c>
      <c r="B71" s="722"/>
      <c r="C71" s="723"/>
      <c r="D71" s="535"/>
      <c r="E71" s="17"/>
      <c r="F71" s="17"/>
      <c r="G71" s="17"/>
      <c r="H71" s="31"/>
      <c r="I71" s="344"/>
    </row>
    <row r="72" spans="1:9" ht="25.5" customHeight="1" hidden="1">
      <c r="A72" s="721" t="s">
        <v>148</v>
      </c>
      <c r="B72" s="722"/>
      <c r="C72" s="723"/>
      <c r="D72" s="535"/>
      <c r="E72" s="17"/>
      <c r="F72" s="17"/>
      <c r="G72" s="17"/>
      <c r="H72" s="31"/>
      <c r="I72" s="344"/>
    </row>
    <row r="73" spans="1:9" ht="26.25" customHeight="1" hidden="1" thickBot="1">
      <c r="A73" s="727" t="s">
        <v>671</v>
      </c>
      <c r="B73" s="728"/>
      <c r="C73" s="729"/>
      <c r="D73" s="540"/>
      <c r="E73" s="114"/>
      <c r="F73" s="114"/>
      <c r="G73" s="114"/>
      <c r="H73" s="114"/>
      <c r="I73" s="361"/>
    </row>
    <row r="74" spans="1:9" ht="15" hidden="1">
      <c r="A74" s="730" t="s">
        <v>166</v>
      </c>
      <c r="B74" s="730"/>
      <c r="C74" s="731"/>
      <c r="D74" s="534"/>
      <c r="E74" s="365">
        <f>E6+E24+E54</f>
        <v>1146250</v>
      </c>
      <c r="F74" s="365">
        <f>F6+F24+F54</f>
        <v>-951712</v>
      </c>
      <c r="G74" s="365">
        <f>G6+G24+G34+1</f>
        <v>2845124</v>
      </c>
      <c r="H74" s="365">
        <f>SUM(E74:G74)</f>
        <v>3039662</v>
      </c>
      <c r="I74" s="740"/>
    </row>
    <row r="75" spans="1:9" ht="15" hidden="1">
      <c r="A75" s="717" t="s">
        <v>437</v>
      </c>
      <c r="B75" s="718"/>
      <c r="C75" s="719"/>
      <c r="D75" s="561"/>
      <c r="E75" s="543"/>
      <c r="F75" s="543"/>
      <c r="G75" s="543"/>
      <c r="H75" s="543"/>
      <c r="I75" s="740"/>
    </row>
    <row r="76" spans="1:9" ht="15" hidden="1">
      <c r="A76" s="720" t="s">
        <v>146</v>
      </c>
      <c r="B76" s="720"/>
      <c r="C76" s="717"/>
      <c r="D76" s="532"/>
      <c r="E76" s="18">
        <v>0</v>
      </c>
      <c r="F76" s="18"/>
      <c r="G76" s="18">
        <f>G8+G25+1</f>
        <v>426770</v>
      </c>
      <c r="H76" s="31">
        <f>SUM(F76:G76)</f>
        <v>426770</v>
      </c>
      <c r="I76" s="740"/>
    </row>
    <row r="77" spans="1:9" ht="15" hidden="1">
      <c r="A77" s="720" t="s">
        <v>772</v>
      </c>
      <c r="B77" s="720"/>
      <c r="C77" s="717"/>
      <c r="D77" s="532"/>
      <c r="E77" s="544">
        <v>0</v>
      </c>
      <c r="F77" s="544">
        <f>748520-3</f>
        <v>748517</v>
      </c>
      <c r="G77" s="543">
        <v>-411519</v>
      </c>
      <c r="H77" s="31">
        <f aca="true" t="shared" si="2" ref="H77:H82">SUM(F77:G77)</f>
        <v>336998</v>
      </c>
      <c r="I77" s="740"/>
    </row>
    <row r="78" spans="1:9" ht="15" hidden="1">
      <c r="A78" s="720" t="s">
        <v>773</v>
      </c>
      <c r="B78" s="720"/>
      <c r="C78" s="717"/>
      <c r="D78" s="532"/>
      <c r="E78" s="544"/>
      <c r="F78" s="544"/>
      <c r="G78" s="545"/>
      <c r="H78" s="31">
        <f t="shared" si="2"/>
        <v>0</v>
      </c>
      <c r="I78" s="740"/>
    </row>
    <row r="79" spans="1:9" ht="24" customHeight="1" hidden="1">
      <c r="A79" s="720" t="s">
        <v>810</v>
      </c>
      <c r="B79" s="720"/>
      <c r="C79" s="717"/>
      <c r="D79" s="532"/>
      <c r="E79" s="544"/>
      <c r="F79" s="544"/>
      <c r="G79" s="543">
        <v>-4940</v>
      </c>
      <c r="H79" s="31">
        <f t="shared" si="2"/>
        <v>-4940</v>
      </c>
      <c r="I79" s="740"/>
    </row>
    <row r="80" spans="1:9" ht="24" customHeight="1" hidden="1">
      <c r="A80" s="717" t="s">
        <v>768</v>
      </c>
      <c r="B80" s="718"/>
      <c r="C80" s="719"/>
      <c r="D80" s="537"/>
      <c r="E80" s="531"/>
      <c r="F80" s="531"/>
      <c r="G80" s="532">
        <v>8927</v>
      </c>
      <c r="H80" s="31">
        <f t="shared" si="2"/>
        <v>8927</v>
      </c>
      <c r="I80" s="740"/>
    </row>
    <row r="81" spans="1:9" ht="15" hidden="1">
      <c r="A81" s="720" t="s">
        <v>153</v>
      </c>
      <c r="B81" s="720"/>
      <c r="C81" s="717"/>
      <c r="D81" s="532"/>
      <c r="E81" s="544"/>
      <c r="F81" s="544"/>
      <c r="G81" s="545"/>
      <c r="H81" s="31">
        <f t="shared" si="2"/>
        <v>0</v>
      </c>
      <c r="I81" s="740"/>
    </row>
    <row r="82" spans="1:9" ht="15" hidden="1">
      <c r="A82" s="720" t="s">
        <v>148</v>
      </c>
      <c r="B82" s="720"/>
      <c r="C82" s="717"/>
      <c r="D82" s="532"/>
      <c r="E82" s="18"/>
      <c r="F82" s="18">
        <v>0</v>
      </c>
      <c r="G82" s="110">
        <v>0</v>
      </c>
      <c r="H82" s="31">
        <f t="shared" si="2"/>
        <v>0</v>
      </c>
      <c r="I82" s="740"/>
    </row>
    <row r="83" spans="1:9" ht="15" hidden="1">
      <c r="A83" s="736" t="s">
        <v>769</v>
      </c>
      <c r="B83" s="736"/>
      <c r="C83" s="737"/>
      <c r="D83" s="533"/>
      <c r="E83" s="366">
        <f>SUM(E74:E82)</f>
        <v>1146250</v>
      </c>
      <c r="F83" s="366">
        <f>SUM(F74:F82)</f>
        <v>-203195</v>
      </c>
      <c r="G83" s="366">
        <f>SUM(G74:G82)</f>
        <v>2864362</v>
      </c>
      <c r="H83" s="366">
        <f>SUM(E83:G83)</f>
        <v>3807417</v>
      </c>
      <c r="I83" s="740"/>
    </row>
    <row r="84" spans="1:9" ht="15" hidden="1">
      <c r="A84" s="736" t="s">
        <v>144</v>
      </c>
      <c r="B84" s="736"/>
      <c r="C84" s="737"/>
      <c r="D84" s="534"/>
      <c r="E84" s="365">
        <v>1146250</v>
      </c>
      <c r="F84" s="365">
        <f>-774048+32351</f>
        <v>-741697</v>
      </c>
      <c r="G84" s="365">
        <f>2500110+(-18690)</f>
        <v>2481420</v>
      </c>
      <c r="H84" s="366">
        <f>SUM(E84:G84)</f>
        <v>2885973</v>
      </c>
      <c r="I84" s="740"/>
    </row>
    <row r="85" spans="1:9" ht="15" hidden="1">
      <c r="A85" s="717" t="s">
        <v>437</v>
      </c>
      <c r="B85" s="718"/>
      <c r="C85" s="719"/>
      <c r="D85" s="561"/>
      <c r="E85" s="543"/>
      <c r="F85" s="543"/>
      <c r="G85" s="543">
        <f>2991</f>
        <v>2991</v>
      </c>
      <c r="H85" s="31">
        <f>SUM(E85:G85)</f>
        <v>2991</v>
      </c>
      <c r="I85" s="740"/>
    </row>
    <row r="86" spans="1:9" ht="15" hidden="1">
      <c r="A86" s="720" t="s">
        <v>146</v>
      </c>
      <c r="B86" s="720"/>
      <c r="C86" s="717"/>
      <c r="D86" s="562"/>
      <c r="E86" s="543"/>
      <c r="F86" s="543"/>
      <c r="G86" s="543">
        <f>675114+(-283745)-1066</f>
        <v>390303</v>
      </c>
      <c r="H86" s="31">
        <f aca="true" t="shared" si="3" ref="H86:H92">SUM(E86:G86)</f>
        <v>390303</v>
      </c>
      <c r="I86" s="740"/>
    </row>
    <row r="87" spans="1:9" ht="15" hidden="1">
      <c r="A87" s="720" t="s">
        <v>772</v>
      </c>
      <c r="B87" s="720"/>
      <c r="C87" s="717"/>
      <c r="D87" s="562"/>
      <c r="E87" s="543"/>
      <c r="F87" s="543">
        <f>-210015</f>
        <v>-210015</v>
      </c>
      <c r="G87" s="543"/>
      <c r="H87" s="31">
        <f t="shared" si="3"/>
        <v>-210015</v>
      </c>
      <c r="I87" s="740"/>
    </row>
    <row r="88" spans="1:9" ht="15" hidden="1">
      <c r="A88" s="720" t="s">
        <v>773</v>
      </c>
      <c r="B88" s="720"/>
      <c r="C88" s="717"/>
      <c r="D88" s="562"/>
      <c r="E88" s="543"/>
      <c r="F88" s="543"/>
      <c r="G88" s="543">
        <v>-29590</v>
      </c>
      <c r="H88" s="31">
        <f t="shared" si="3"/>
        <v>-29590</v>
      </c>
      <c r="I88" s="740"/>
    </row>
    <row r="89" spans="1:9" ht="28.5" customHeight="1" hidden="1">
      <c r="A89" s="720" t="s">
        <v>810</v>
      </c>
      <c r="B89" s="720"/>
      <c r="C89" s="717"/>
      <c r="D89" s="562"/>
      <c r="E89" s="543"/>
      <c r="F89" s="543"/>
      <c r="G89" s="543"/>
      <c r="H89" s="31">
        <f t="shared" si="3"/>
        <v>0</v>
      </c>
      <c r="I89" s="740"/>
    </row>
    <row r="90" spans="1:9" ht="27" customHeight="1" hidden="1">
      <c r="A90" s="717" t="s">
        <v>768</v>
      </c>
      <c r="B90" s="718"/>
      <c r="C90" s="719"/>
      <c r="D90" s="537"/>
      <c r="E90" s="17">
        <v>0</v>
      </c>
      <c r="F90" s="17"/>
      <c r="G90" s="17"/>
      <c r="H90" s="31">
        <f t="shared" si="3"/>
        <v>0</v>
      </c>
      <c r="I90" s="740"/>
    </row>
    <row r="91" spans="1:9" ht="18.75" customHeight="1" hidden="1">
      <c r="A91" s="720" t="s">
        <v>153</v>
      </c>
      <c r="B91" s="720"/>
      <c r="C91" s="717"/>
      <c r="D91" s="532"/>
      <c r="E91" s="17">
        <v>0</v>
      </c>
      <c r="F91" s="17">
        <v>0</v>
      </c>
      <c r="G91" s="17"/>
      <c r="H91" s="31">
        <f t="shared" si="3"/>
        <v>0</v>
      </c>
      <c r="I91" s="740"/>
    </row>
    <row r="92" spans="1:9" ht="15" customHeight="1" hidden="1">
      <c r="A92" s="720" t="s">
        <v>148</v>
      </c>
      <c r="B92" s="720"/>
      <c r="C92" s="717"/>
      <c r="D92" s="532"/>
      <c r="E92" s="17"/>
      <c r="F92" s="17">
        <v>0</v>
      </c>
      <c r="G92" s="17">
        <v>0</v>
      </c>
      <c r="H92" s="31">
        <f t="shared" si="3"/>
        <v>0</v>
      </c>
      <c r="I92" s="740"/>
    </row>
    <row r="93" spans="1:9" ht="15" hidden="1">
      <c r="A93" s="736" t="s">
        <v>672</v>
      </c>
      <c r="B93" s="736"/>
      <c r="C93" s="737"/>
      <c r="D93" s="533"/>
      <c r="E93" s="366">
        <f>SUM(E84:E92)</f>
        <v>1146250</v>
      </c>
      <c r="F93" s="366">
        <f>SUM(F84:F92)</f>
        <v>-951712</v>
      </c>
      <c r="G93" s="366">
        <f>SUM(G84:G92)</f>
        <v>2845124</v>
      </c>
      <c r="H93" s="366">
        <f>SUM(E93:G93)</f>
        <v>3039662</v>
      </c>
      <c r="I93" s="740"/>
    </row>
    <row r="94" spans="2:9" ht="15">
      <c r="B94" s="13"/>
      <c r="F94" s="21"/>
      <c r="I94" s="13"/>
    </row>
    <row r="95" ht="15">
      <c r="I95" s="22"/>
    </row>
    <row r="96" spans="1:9" ht="15">
      <c r="A96" s="367" t="s">
        <v>673</v>
      </c>
      <c r="B96" s="22"/>
      <c r="C96" s="738" t="s">
        <v>674</v>
      </c>
      <c r="D96" s="738"/>
      <c r="E96" s="738"/>
      <c r="F96" s="368"/>
      <c r="G96" s="369"/>
      <c r="I96" s="22"/>
    </row>
    <row r="97" spans="1:9" ht="15">
      <c r="A97" s="22"/>
      <c r="B97" s="22"/>
      <c r="C97" s="739" t="s">
        <v>675</v>
      </c>
      <c r="D97" s="739"/>
      <c r="E97" s="739"/>
      <c r="F97" s="22"/>
      <c r="G97" s="23" t="s">
        <v>471</v>
      </c>
      <c r="I97" s="22"/>
    </row>
    <row r="98" spans="1:9" ht="15">
      <c r="A98" s="24" t="s">
        <v>676</v>
      </c>
      <c r="B98" s="22"/>
      <c r="C98" s="175"/>
      <c r="D98" s="175"/>
      <c r="E98" s="175"/>
      <c r="F98" s="22"/>
      <c r="G98" s="22"/>
      <c r="I98" s="22"/>
    </row>
    <row r="99" spans="1:9" ht="15">
      <c r="A99" s="23"/>
      <c r="B99" s="22"/>
      <c r="C99" s="738" t="s">
        <v>677</v>
      </c>
      <c r="D99" s="738"/>
      <c r="E99" s="738"/>
      <c r="F99" s="22"/>
      <c r="G99" s="369"/>
      <c r="I99" s="22"/>
    </row>
    <row r="100" spans="1:9" ht="15">
      <c r="A100" s="22"/>
      <c r="B100" s="22"/>
      <c r="C100" s="735" t="s">
        <v>675</v>
      </c>
      <c r="D100" s="735"/>
      <c r="E100" s="735"/>
      <c r="F100" s="22"/>
      <c r="G100" s="23" t="s">
        <v>471</v>
      </c>
      <c r="I100" s="13"/>
    </row>
  </sheetData>
  <sheetProtection/>
  <mergeCells count="101">
    <mergeCell ref="A17:C17"/>
    <mergeCell ref="A13:C13"/>
    <mergeCell ref="A14:C14"/>
    <mergeCell ref="A19:C19"/>
    <mergeCell ref="A8:C8"/>
    <mergeCell ref="A20:C20"/>
    <mergeCell ref="A15:C15"/>
    <mergeCell ref="A16:C16"/>
    <mergeCell ref="A18:C18"/>
    <mergeCell ref="A1:H1"/>
    <mergeCell ref="A2:H2"/>
    <mergeCell ref="A3:H3"/>
    <mergeCell ref="A5:C5"/>
    <mergeCell ref="A6:C6"/>
    <mergeCell ref="A7:C7"/>
    <mergeCell ref="A25:C25"/>
    <mergeCell ref="A26:C26"/>
    <mergeCell ref="A27:C27"/>
    <mergeCell ref="A28:C28"/>
    <mergeCell ref="A29:C29"/>
    <mergeCell ref="A9:C9"/>
    <mergeCell ref="A10:C10"/>
    <mergeCell ref="A11:C11"/>
    <mergeCell ref="A12:C12"/>
    <mergeCell ref="A21:C21"/>
    <mergeCell ref="I6:I23"/>
    <mergeCell ref="A22:C22"/>
    <mergeCell ref="A23:C23"/>
    <mergeCell ref="I34:I43"/>
    <mergeCell ref="A35:C35"/>
    <mergeCell ref="A36:C36"/>
    <mergeCell ref="A37:C37"/>
    <mergeCell ref="A38:C38"/>
    <mergeCell ref="A24:C24"/>
    <mergeCell ref="I24:I33"/>
    <mergeCell ref="A47:C47"/>
    <mergeCell ref="A30:C30"/>
    <mergeCell ref="A31:C31"/>
    <mergeCell ref="A32:C32"/>
    <mergeCell ref="A33:C33"/>
    <mergeCell ref="A34:C34"/>
    <mergeCell ref="A63:C63"/>
    <mergeCell ref="A39:C39"/>
    <mergeCell ref="A40:C40"/>
    <mergeCell ref="A41:C41"/>
    <mergeCell ref="A42:C42"/>
    <mergeCell ref="A43:C43"/>
    <mergeCell ref="A54:C54"/>
    <mergeCell ref="A44:C44"/>
    <mergeCell ref="A45:C45"/>
    <mergeCell ref="A46:C46"/>
    <mergeCell ref="A80:C80"/>
    <mergeCell ref="I54:I63"/>
    <mergeCell ref="A55:C55"/>
    <mergeCell ref="A56:C56"/>
    <mergeCell ref="A57:C57"/>
    <mergeCell ref="A58:C58"/>
    <mergeCell ref="A59:C59"/>
    <mergeCell ref="A60:C60"/>
    <mergeCell ref="A61:C61"/>
    <mergeCell ref="A62:C62"/>
    <mergeCell ref="C99:E99"/>
    <mergeCell ref="I74:I93"/>
    <mergeCell ref="A76:C76"/>
    <mergeCell ref="A81:C81"/>
    <mergeCell ref="A82:C82"/>
    <mergeCell ref="A83:C83"/>
    <mergeCell ref="A84:C84"/>
    <mergeCell ref="A90:C90"/>
    <mergeCell ref="A78:C78"/>
    <mergeCell ref="A79:C79"/>
    <mergeCell ref="A53:C53"/>
    <mergeCell ref="A64:C64"/>
    <mergeCell ref="A65:C65"/>
    <mergeCell ref="A66:C66"/>
    <mergeCell ref="C100:E100"/>
    <mergeCell ref="A91:C91"/>
    <mergeCell ref="A92:C92"/>
    <mergeCell ref="A93:C93"/>
    <mergeCell ref="C96:E96"/>
    <mergeCell ref="C97:E97"/>
    <mergeCell ref="A77:C77"/>
    <mergeCell ref="A72:C72"/>
    <mergeCell ref="A73:C73"/>
    <mergeCell ref="A74:C74"/>
    <mergeCell ref="A70:C70"/>
    <mergeCell ref="A48:C48"/>
    <mergeCell ref="A49:C49"/>
    <mergeCell ref="A50:C50"/>
    <mergeCell ref="A51:C51"/>
    <mergeCell ref="A52:C52"/>
    <mergeCell ref="A85:C85"/>
    <mergeCell ref="A88:C88"/>
    <mergeCell ref="A89:C89"/>
    <mergeCell ref="A86:C86"/>
    <mergeCell ref="A87:C87"/>
    <mergeCell ref="A67:C67"/>
    <mergeCell ref="A68:C68"/>
    <mergeCell ref="A69:C69"/>
    <mergeCell ref="A71:C71"/>
    <mergeCell ref="A75:C75"/>
  </mergeCells>
  <printOptions/>
  <pageMargins left="0.7086614173228347" right="0.31496062992125984" top="0.7480314960629921" bottom="0.7480314960629921" header="0.31496062992125984" footer="0.31496062992125984"/>
  <pageSetup horizontalDpi="600" verticalDpi="600" orientation="portrait" paperSize="9" scale="81" r:id="rId1"/>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2:S88"/>
  <sheetViews>
    <sheetView zoomScalePageLayoutView="0" workbookViewId="0" topLeftCell="A1">
      <selection activeCell="C88" sqref="C88:E88"/>
    </sheetView>
  </sheetViews>
  <sheetFormatPr defaultColWidth="9.140625" defaultRowHeight="15"/>
  <cols>
    <col min="3" max="3" width="18.00390625" style="0" customWidth="1"/>
    <col min="4" max="4" width="18.00390625" style="10" customWidth="1"/>
    <col min="5" max="5" width="12.7109375" style="0" customWidth="1"/>
    <col min="6" max="6" width="11.8515625" style="0" customWidth="1"/>
    <col min="7" max="7" width="15.7109375" style="0" customWidth="1"/>
    <col min="8" max="8" width="10.8515625" style="0" bestFit="1" customWidth="1"/>
    <col min="9" max="9" width="25.8515625" style="0" customWidth="1"/>
  </cols>
  <sheetData>
    <row r="2" spans="1:9" ht="18.75">
      <c r="A2" s="647" t="s">
        <v>0</v>
      </c>
      <c r="B2" s="647"/>
      <c r="C2" s="647"/>
      <c r="D2" s="647"/>
      <c r="E2" s="647"/>
      <c r="F2" s="647"/>
      <c r="G2" s="647"/>
      <c r="H2" s="647"/>
      <c r="I2" s="13"/>
    </row>
    <row r="3" spans="1:9" ht="15">
      <c r="A3" s="757" t="s">
        <v>393</v>
      </c>
      <c r="B3" s="757"/>
      <c r="C3" s="757"/>
      <c r="D3" s="757"/>
      <c r="E3" s="757"/>
      <c r="F3" s="757"/>
      <c r="G3" s="757"/>
      <c r="H3" s="757"/>
      <c r="I3" s="14"/>
    </row>
    <row r="4" spans="1:19" ht="15">
      <c r="A4" s="649" t="s">
        <v>431</v>
      </c>
      <c r="B4" s="649"/>
      <c r="C4" s="649"/>
      <c r="D4" s="649"/>
      <c r="E4" s="649"/>
      <c r="F4" s="649"/>
      <c r="G4" s="649"/>
      <c r="H4" s="649"/>
      <c r="I4" s="179"/>
      <c r="J4" s="179"/>
      <c r="K4" s="179"/>
      <c r="L4" s="179"/>
      <c r="M4" s="179"/>
      <c r="N4" s="179"/>
      <c r="O4" s="179"/>
      <c r="P4" s="179"/>
      <c r="Q4" s="179"/>
      <c r="R4" s="179"/>
      <c r="S4" s="179"/>
    </row>
    <row r="5" spans="1:9" ht="15">
      <c r="A5" s="15"/>
      <c r="B5" s="11"/>
      <c r="C5" s="11"/>
      <c r="D5" s="11"/>
      <c r="E5" s="11"/>
      <c r="F5" s="11"/>
      <c r="G5" s="11"/>
      <c r="H5" s="12" t="s">
        <v>1</v>
      </c>
      <c r="I5" s="10"/>
    </row>
    <row r="6" spans="1:9" ht="35.25" customHeight="1" thickBot="1">
      <c r="A6" s="780" t="s">
        <v>2</v>
      </c>
      <c r="B6" s="781"/>
      <c r="C6" s="782"/>
      <c r="D6" s="246"/>
      <c r="E6" s="178" t="s">
        <v>140</v>
      </c>
      <c r="F6" s="178" t="s">
        <v>141</v>
      </c>
      <c r="G6" s="178" t="s">
        <v>142</v>
      </c>
      <c r="H6" s="178" t="s">
        <v>143</v>
      </c>
      <c r="I6" s="16"/>
    </row>
    <row r="7" spans="1:9" ht="15.75" customHeight="1" hidden="1" thickBot="1">
      <c r="A7" s="768" t="s">
        <v>166</v>
      </c>
      <c r="B7" s="769"/>
      <c r="C7" s="770"/>
      <c r="D7" s="244"/>
      <c r="E7" s="108">
        <v>1146250</v>
      </c>
      <c r="F7" s="108">
        <v>-984063</v>
      </c>
      <c r="G7" s="108">
        <v>3137995</v>
      </c>
      <c r="H7" s="109">
        <f>SUM(E7:G7)</f>
        <v>3300182</v>
      </c>
      <c r="I7" s="772" t="s">
        <v>145</v>
      </c>
    </row>
    <row r="8" spans="1:9" ht="15.75" customHeight="1" hidden="1" thickBot="1">
      <c r="A8" s="761" t="s">
        <v>146</v>
      </c>
      <c r="B8" s="720"/>
      <c r="C8" s="717"/>
      <c r="D8" s="240"/>
      <c r="E8" s="18"/>
      <c r="F8" s="18"/>
      <c r="G8" s="110">
        <v>328262</v>
      </c>
      <c r="H8" s="111">
        <f>G8</f>
        <v>328262</v>
      </c>
      <c r="I8" s="772"/>
    </row>
    <row r="9" spans="1:9" ht="26.25" customHeight="1" hidden="1">
      <c r="A9" s="761" t="s">
        <v>147</v>
      </c>
      <c r="B9" s="720"/>
      <c r="C9" s="717"/>
      <c r="D9" s="240"/>
      <c r="E9" s="19"/>
      <c r="F9" s="19"/>
      <c r="G9" s="17"/>
      <c r="H9" s="111"/>
      <c r="I9" s="772"/>
    </row>
    <row r="10" spans="1:9" ht="18.75" customHeight="1" hidden="1">
      <c r="A10" s="761" t="s">
        <v>148</v>
      </c>
      <c r="B10" s="720"/>
      <c r="C10" s="717"/>
      <c r="D10" s="240"/>
      <c r="E10" s="18"/>
      <c r="F10" s="18"/>
      <c r="G10" s="110"/>
      <c r="H10" s="111"/>
      <c r="I10" s="772"/>
    </row>
    <row r="11" spans="1:9" ht="21.75" customHeight="1" hidden="1">
      <c r="A11" s="765" t="s">
        <v>149</v>
      </c>
      <c r="B11" s="718"/>
      <c r="C11" s="719"/>
      <c r="D11" s="243"/>
      <c r="E11" s="18"/>
      <c r="F11" s="18"/>
      <c r="G11" s="110"/>
      <c r="H11" s="111"/>
      <c r="I11" s="772"/>
    </row>
    <row r="12" spans="1:9" ht="15.75" customHeight="1" hidden="1" thickBot="1">
      <c r="A12" s="767" t="s">
        <v>167</v>
      </c>
      <c r="B12" s="762"/>
      <c r="C12" s="763"/>
      <c r="D12" s="242"/>
      <c r="E12" s="31">
        <f>E7</f>
        <v>1146250</v>
      </c>
      <c r="F12" s="31">
        <f>F7</f>
        <v>-984063</v>
      </c>
      <c r="G12" s="31">
        <f>G7+G8</f>
        <v>3466257</v>
      </c>
      <c r="H12" s="111">
        <f>H7+H8</f>
        <v>3628444</v>
      </c>
      <c r="I12" s="772"/>
    </row>
    <row r="13" spans="1:9" ht="15.75" customHeight="1" hidden="1" thickBot="1">
      <c r="A13" s="767" t="s">
        <v>144</v>
      </c>
      <c r="B13" s="762"/>
      <c r="C13" s="763"/>
      <c r="D13" s="247"/>
      <c r="E13" s="108">
        <v>1146249.5</v>
      </c>
      <c r="F13" s="108">
        <v>-774048</v>
      </c>
      <c r="G13" s="108">
        <v>2500537</v>
      </c>
      <c r="H13" s="109">
        <v>2872738.5</v>
      </c>
      <c r="I13" s="772"/>
    </row>
    <row r="14" spans="1:9" ht="15.75" customHeight="1" hidden="1" thickBot="1">
      <c r="A14" s="761" t="s">
        <v>146</v>
      </c>
      <c r="B14" s="720"/>
      <c r="C14" s="717"/>
      <c r="D14" s="240"/>
      <c r="E14" s="18"/>
      <c r="F14" s="18"/>
      <c r="G14" s="110">
        <v>282078</v>
      </c>
      <c r="H14" s="111">
        <f>SUM(F14:G14)</f>
        <v>282078</v>
      </c>
      <c r="I14" s="772"/>
    </row>
    <row r="15" spans="1:9" ht="15.75" customHeight="1" hidden="1" thickBot="1">
      <c r="A15" s="761" t="s">
        <v>147</v>
      </c>
      <c r="B15" s="720"/>
      <c r="C15" s="717"/>
      <c r="D15" s="240"/>
      <c r="E15" s="19"/>
      <c r="F15" s="19"/>
      <c r="G15" s="17"/>
      <c r="H15" s="111"/>
      <c r="I15" s="772"/>
    </row>
    <row r="16" spans="1:9" ht="15.75" customHeight="1" hidden="1" thickBot="1">
      <c r="A16" s="765" t="s">
        <v>150</v>
      </c>
      <c r="B16" s="718"/>
      <c r="C16" s="719"/>
      <c r="D16" s="243"/>
      <c r="E16" s="17"/>
      <c r="F16" s="17"/>
      <c r="G16" s="17"/>
      <c r="H16" s="111"/>
      <c r="I16" s="772"/>
    </row>
    <row r="17" spans="1:9" ht="15.75" customHeight="1" hidden="1" thickBot="1">
      <c r="A17" s="761" t="s">
        <v>148</v>
      </c>
      <c r="B17" s="720"/>
      <c r="C17" s="717"/>
      <c r="D17" s="240"/>
      <c r="E17" s="17"/>
      <c r="F17" s="17"/>
      <c r="G17" s="17"/>
      <c r="H17" s="111"/>
      <c r="I17" s="772"/>
    </row>
    <row r="18" spans="1:9" ht="15.75" customHeight="1" hidden="1" thickBot="1">
      <c r="A18" s="774" t="s">
        <v>168</v>
      </c>
      <c r="B18" s="775"/>
      <c r="C18" s="776"/>
      <c r="D18" s="248"/>
      <c r="E18" s="31">
        <f>SUM(E13:E17)</f>
        <v>1146249.5</v>
      </c>
      <c r="F18" s="31">
        <f>SUM(F13:F17)</f>
        <v>-774048</v>
      </c>
      <c r="G18" s="31">
        <f>SUM(G13:G17)</f>
        <v>2782615</v>
      </c>
      <c r="H18" s="111">
        <f>SUM(H13:H17)</f>
        <v>3154816.5</v>
      </c>
      <c r="I18" s="773"/>
    </row>
    <row r="19" spans="1:9" ht="15.75" customHeight="1" hidden="1" thickBot="1">
      <c r="A19" s="768" t="s">
        <v>166</v>
      </c>
      <c r="B19" s="769"/>
      <c r="C19" s="770"/>
      <c r="D19" s="244"/>
      <c r="E19" s="108">
        <v>95084</v>
      </c>
      <c r="F19" s="108">
        <v>32351</v>
      </c>
      <c r="G19" s="108">
        <v>-304190</v>
      </c>
      <c r="H19" s="109">
        <f>SUM(E19:G19)</f>
        <v>-176755</v>
      </c>
      <c r="I19" s="771" t="s">
        <v>152</v>
      </c>
    </row>
    <row r="20" spans="1:9" ht="15.75" customHeight="1" hidden="1" thickBot="1">
      <c r="A20" s="761" t="s">
        <v>146</v>
      </c>
      <c r="B20" s="720"/>
      <c r="C20" s="717"/>
      <c r="D20" s="240"/>
      <c r="E20" s="18"/>
      <c r="F20" s="17"/>
      <c r="G20" s="108">
        <v>-125223</v>
      </c>
      <c r="H20" s="111">
        <f>SUM(E20:G20)</f>
        <v>-125223</v>
      </c>
      <c r="I20" s="772"/>
    </row>
    <row r="21" spans="1:9" ht="15.75" customHeight="1" hidden="1" thickBot="1">
      <c r="A21" s="761" t="s">
        <v>153</v>
      </c>
      <c r="B21" s="720"/>
      <c r="C21" s="717"/>
      <c r="D21" s="240"/>
      <c r="E21" s="19"/>
      <c r="F21" s="19"/>
      <c r="G21" s="20"/>
      <c r="H21" s="111"/>
      <c r="I21" s="772"/>
    </row>
    <row r="22" spans="1:9" ht="15.75" customHeight="1" hidden="1" thickBot="1">
      <c r="A22" s="761" t="s">
        <v>148</v>
      </c>
      <c r="B22" s="720"/>
      <c r="C22" s="717"/>
      <c r="D22" s="240"/>
      <c r="E22" s="18"/>
      <c r="F22" s="18"/>
      <c r="G22" s="110"/>
      <c r="H22" s="111"/>
      <c r="I22" s="772"/>
    </row>
    <row r="23" spans="1:9" ht="15.75" customHeight="1" hidden="1" thickBot="1">
      <c r="A23" s="767" t="s">
        <v>169</v>
      </c>
      <c r="B23" s="762"/>
      <c r="C23" s="763"/>
      <c r="D23" s="242"/>
      <c r="E23" s="31">
        <f>SUM(E19:E22)</f>
        <v>95084</v>
      </c>
      <c r="F23" s="31">
        <f>SUM(F19:F22)</f>
        <v>32351</v>
      </c>
      <c r="G23" s="31">
        <f>SUM(G19:G22)</f>
        <v>-429413</v>
      </c>
      <c r="H23" s="111">
        <f>SUM(E23:G23)</f>
        <v>-301978</v>
      </c>
      <c r="I23" s="772"/>
    </row>
    <row r="24" spans="1:9" ht="15.75" customHeight="1" hidden="1" thickBot="1">
      <c r="A24" s="767" t="s">
        <v>144</v>
      </c>
      <c r="B24" s="762"/>
      <c r="C24" s="763"/>
      <c r="D24" s="247"/>
      <c r="E24" s="108">
        <v>10084</v>
      </c>
      <c r="F24" s="108">
        <v>32351</v>
      </c>
      <c r="G24" s="108">
        <v>-14295</v>
      </c>
      <c r="H24" s="109">
        <v>28140</v>
      </c>
      <c r="I24" s="772"/>
    </row>
    <row r="25" spans="1:9" ht="15.75" customHeight="1" hidden="1" thickBot="1">
      <c r="A25" s="761" t="s">
        <v>146</v>
      </c>
      <c r="B25" s="720"/>
      <c r="C25" s="717"/>
      <c r="D25" s="240"/>
      <c r="E25" s="18"/>
      <c r="F25" s="17"/>
      <c r="G25" s="108"/>
      <c r="H25" s="111"/>
      <c r="I25" s="772"/>
    </row>
    <row r="26" spans="1:9" ht="15.75" customHeight="1" hidden="1" thickBot="1">
      <c r="A26" s="761" t="s">
        <v>153</v>
      </c>
      <c r="B26" s="720"/>
      <c r="C26" s="717"/>
      <c r="D26" s="240"/>
      <c r="E26" s="19"/>
      <c r="F26" s="19"/>
      <c r="G26" s="20"/>
      <c r="H26" s="111"/>
      <c r="I26" s="772"/>
    </row>
    <row r="27" spans="1:9" ht="15.75" customHeight="1" hidden="1" thickBot="1">
      <c r="A27" s="761" t="s">
        <v>148</v>
      </c>
      <c r="B27" s="720"/>
      <c r="C27" s="717"/>
      <c r="D27" s="240"/>
      <c r="E27" s="18"/>
      <c r="F27" s="18"/>
      <c r="G27" s="110"/>
      <c r="H27" s="111"/>
      <c r="I27" s="772"/>
    </row>
    <row r="28" spans="1:9" ht="15.75" customHeight="1" hidden="1" thickBot="1">
      <c r="A28" s="774" t="s">
        <v>170</v>
      </c>
      <c r="B28" s="775"/>
      <c r="C28" s="776"/>
      <c r="D28" s="248"/>
      <c r="E28" s="31"/>
      <c r="F28" s="31"/>
      <c r="G28" s="31"/>
      <c r="H28" s="111"/>
      <c r="I28" s="773"/>
    </row>
    <row r="29" spans="1:9" ht="15.75" customHeight="1" hidden="1" thickBot="1">
      <c r="A29" s="768" t="s">
        <v>166</v>
      </c>
      <c r="B29" s="769"/>
      <c r="C29" s="770"/>
      <c r="D29" s="244"/>
      <c r="E29" s="108"/>
      <c r="F29" s="108"/>
      <c r="G29" s="108"/>
      <c r="H29" s="109"/>
      <c r="I29" s="777" t="s">
        <v>154</v>
      </c>
    </row>
    <row r="30" spans="1:9" ht="15.75" customHeight="1" hidden="1" thickBot="1">
      <c r="A30" s="761" t="s">
        <v>146</v>
      </c>
      <c r="B30" s="720"/>
      <c r="C30" s="717"/>
      <c r="D30" s="240"/>
      <c r="E30" s="18"/>
      <c r="F30" s="18"/>
      <c r="G30" s="110"/>
      <c r="H30" s="111"/>
      <c r="I30" s="778"/>
    </row>
    <row r="31" spans="1:9" ht="15.75" customHeight="1" hidden="1" thickBot="1">
      <c r="A31" s="761" t="s">
        <v>153</v>
      </c>
      <c r="B31" s="720"/>
      <c r="C31" s="717"/>
      <c r="D31" s="240"/>
      <c r="E31" s="19"/>
      <c r="F31" s="19"/>
      <c r="G31" s="20"/>
      <c r="H31" s="111"/>
      <c r="I31" s="778"/>
    </row>
    <row r="32" spans="1:9" ht="15.75" customHeight="1" hidden="1" thickBot="1">
      <c r="A32" s="761" t="s">
        <v>148</v>
      </c>
      <c r="B32" s="720"/>
      <c r="C32" s="717"/>
      <c r="D32" s="240"/>
      <c r="E32" s="18"/>
      <c r="F32" s="18"/>
      <c r="G32" s="110"/>
      <c r="H32" s="111"/>
      <c r="I32" s="778"/>
    </row>
    <row r="33" spans="1:9" ht="15.75" customHeight="1" hidden="1" thickBot="1">
      <c r="A33" s="767" t="s">
        <v>171</v>
      </c>
      <c r="B33" s="762"/>
      <c r="C33" s="763"/>
      <c r="D33" s="242"/>
      <c r="E33" s="31"/>
      <c r="F33" s="31"/>
      <c r="G33" s="31"/>
      <c r="H33" s="111"/>
      <c r="I33" s="778"/>
    </row>
    <row r="34" spans="1:9" ht="15.75" customHeight="1" hidden="1" thickBot="1">
      <c r="A34" s="767" t="s">
        <v>144</v>
      </c>
      <c r="B34" s="762"/>
      <c r="C34" s="763"/>
      <c r="D34" s="247"/>
      <c r="E34" s="108"/>
      <c r="F34" s="108"/>
      <c r="G34" s="108"/>
      <c r="H34" s="109"/>
      <c r="I34" s="778"/>
    </row>
    <row r="35" spans="1:9" ht="15.75" customHeight="1" hidden="1" thickBot="1">
      <c r="A35" s="761" t="s">
        <v>146</v>
      </c>
      <c r="B35" s="720"/>
      <c r="C35" s="717"/>
      <c r="D35" s="240"/>
      <c r="E35" s="18"/>
      <c r="F35" s="18"/>
      <c r="G35" s="110"/>
      <c r="H35" s="111"/>
      <c r="I35" s="778"/>
    </row>
    <row r="36" spans="1:9" ht="15.75" customHeight="1" hidden="1" thickBot="1">
      <c r="A36" s="761" t="s">
        <v>153</v>
      </c>
      <c r="B36" s="720"/>
      <c r="C36" s="717"/>
      <c r="D36" s="240"/>
      <c r="E36" s="19"/>
      <c r="F36" s="19"/>
      <c r="G36" s="20"/>
      <c r="H36" s="111"/>
      <c r="I36" s="778"/>
    </row>
    <row r="37" spans="1:9" ht="15.75" customHeight="1" hidden="1" thickBot="1">
      <c r="A37" s="761" t="s">
        <v>148</v>
      </c>
      <c r="B37" s="720"/>
      <c r="C37" s="717"/>
      <c r="D37" s="240"/>
      <c r="E37" s="18"/>
      <c r="F37" s="18"/>
      <c r="G37" s="110"/>
      <c r="H37" s="111"/>
      <c r="I37" s="778"/>
    </row>
    <row r="38" spans="1:9" ht="15.75" customHeight="1" hidden="1" thickBot="1">
      <c r="A38" s="774" t="s">
        <v>172</v>
      </c>
      <c r="B38" s="775"/>
      <c r="C38" s="776"/>
      <c r="D38" s="248"/>
      <c r="E38" s="31"/>
      <c r="F38" s="31"/>
      <c r="G38" s="31"/>
      <c r="H38" s="111"/>
      <c r="I38" s="779"/>
    </row>
    <row r="39" spans="1:9" ht="19.5" customHeight="1" hidden="1" thickBot="1">
      <c r="A39" s="783" t="s">
        <v>166</v>
      </c>
      <c r="B39" s="784"/>
      <c r="C39" s="785"/>
      <c r="D39" s="247"/>
      <c r="E39" s="89"/>
      <c r="F39" s="89"/>
      <c r="G39" s="89"/>
      <c r="H39" s="112">
        <v>0</v>
      </c>
      <c r="I39" s="25" t="s">
        <v>155</v>
      </c>
    </row>
    <row r="40" spans="1:9" ht="19.5" customHeight="1" hidden="1" thickBot="1">
      <c r="A40" s="761" t="s">
        <v>146</v>
      </c>
      <c r="B40" s="720"/>
      <c r="C40" s="717"/>
      <c r="D40" s="240"/>
      <c r="E40" s="18"/>
      <c r="F40" s="18"/>
      <c r="G40" s="111"/>
      <c r="H40" s="111"/>
      <c r="I40" s="26"/>
    </row>
    <row r="41" spans="1:9" ht="19.5" customHeight="1" hidden="1" thickBot="1">
      <c r="A41" s="761" t="s">
        <v>156</v>
      </c>
      <c r="B41" s="720"/>
      <c r="C41" s="717"/>
      <c r="D41" s="240"/>
      <c r="E41" s="19"/>
      <c r="F41" s="19"/>
      <c r="G41" s="17"/>
      <c r="H41" s="111">
        <v>0</v>
      </c>
      <c r="I41" s="26"/>
    </row>
    <row r="42" spans="1:9" ht="19.5" customHeight="1" hidden="1" thickBot="1">
      <c r="A42" s="761" t="s">
        <v>148</v>
      </c>
      <c r="B42" s="720"/>
      <c r="C42" s="717"/>
      <c r="D42" s="240"/>
      <c r="E42" s="18"/>
      <c r="F42" s="18"/>
      <c r="G42" s="110"/>
      <c r="H42" s="111">
        <v>0</v>
      </c>
      <c r="I42" s="26"/>
    </row>
    <row r="43" spans="1:9" ht="19.5" customHeight="1" hidden="1" thickBot="1">
      <c r="A43" s="767" t="s">
        <v>173</v>
      </c>
      <c r="B43" s="762"/>
      <c r="C43" s="763"/>
      <c r="D43" s="242"/>
      <c r="E43" s="31">
        <v>0</v>
      </c>
      <c r="F43" s="31">
        <v>0</v>
      </c>
      <c r="G43" s="31">
        <v>0</v>
      </c>
      <c r="H43" s="111">
        <v>0</v>
      </c>
      <c r="I43" s="26"/>
    </row>
    <row r="44" spans="1:9" ht="19.5" customHeight="1" hidden="1" thickBot="1">
      <c r="A44" s="767" t="s">
        <v>144</v>
      </c>
      <c r="B44" s="762"/>
      <c r="C44" s="763"/>
      <c r="D44" s="242"/>
      <c r="E44" s="31"/>
      <c r="F44" s="31"/>
      <c r="G44" s="31"/>
      <c r="H44" s="111">
        <v>0</v>
      </c>
      <c r="I44" s="26"/>
    </row>
    <row r="45" spans="1:9" ht="19.5" customHeight="1" hidden="1" thickBot="1">
      <c r="A45" s="761" t="s">
        <v>146</v>
      </c>
      <c r="B45" s="720"/>
      <c r="C45" s="717"/>
      <c r="D45" s="240"/>
      <c r="E45" s="17"/>
      <c r="F45" s="17"/>
      <c r="G45" s="113"/>
      <c r="H45" s="111"/>
      <c r="I45" s="26"/>
    </row>
    <row r="46" spans="1:9" ht="19.5" customHeight="1" hidden="1" thickBot="1">
      <c r="A46" s="761" t="s">
        <v>156</v>
      </c>
      <c r="B46" s="720"/>
      <c r="C46" s="717"/>
      <c r="D46" s="240"/>
      <c r="E46" s="17"/>
      <c r="F46" s="17"/>
      <c r="G46" s="17"/>
      <c r="H46" s="111"/>
      <c r="I46" s="26"/>
    </row>
    <row r="47" spans="1:9" ht="19.5" customHeight="1" hidden="1" thickBot="1">
      <c r="A47" s="761" t="s">
        <v>148</v>
      </c>
      <c r="B47" s="720"/>
      <c r="C47" s="717"/>
      <c r="D47" s="240"/>
      <c r="E47" s="17"/>
      <c r="F47" s="17"/>
      <c r="G47" s="17"/>
      <c r="H47" s="111"/>
      <c r="I47" s="26"/>
    </row>
    <row r="48" spans="1:9" ht="19.5" customHeight="1" hidden="1" thickBot="1">
      <c r="A48" s="774" t="s">
        <v>151</v>
      </c>
      <c r="B48" s="775"/>
      <c r="C48" s="776"/>
      <c r="D48" s="245"/>
      <c r="E48" s="114"/>
      <c r="F48" s="114"/>
      <c r="G48" s="114"/>
      <c r="H48" s="111"/>
      <c r="I48" s="27"/>
    </row>
    <row r="49" spans="1:9" ht="15.75" customHeight="1" hidden="1" thickBot="1">
      <c r="A49" s="768" t="s">
        <v>166</v>
      </c>
      <c r="B49" s="769"/>
      <c r="C49" s="770"/>
      <c r="D49" s="244"/>
      <c r="E49" s="108"/>
      <c r="F49" s="108"/>
      <c r="G49" s="108"/>
      <c r="H49" s="111"/>
      <c r="I49" s="771" t="s">
        <v>157</v>
      </c>
    </row>
    <row r="50" spans="1:9" ht="15.75" customHeight="1" hidden="1" thickBot="1">
      <c r="A50" s="761" t="s">
        <v>146</v>
      </c>
      <c r="B50" s="720"/>
      <c r="C50" s="717"/>
      <c r="D50" s="240"/>
      <c r="E50" s="18">
        <v>-95084</v>
      </c>
      <c r="F50" s="18"/>
      <c r="G50" s="110"/>
      <c r="H50" s="111">
        <f>SUM(E50:G50)</f>
        <v>-95084</v>
      </c>
      <c r="I50" s="772"/>
    </row>
    <row r="51" spans="1:9" ht="15.75" customHeight="1" hidden="1" thickBot="1">
      <c r="A51" s="761" t="s">
        <v>153</v>
      </c>
      <c r="B51" s="720"/>
      <c r="C51" s="717"/>
      <c r="D51" s="240"/>
      <c r="E51" s="19"/>
      <c r="F51" s="19"/>
      <c r="G51" s="20"/>
      <c r="H51" s="111"/>
      <c r="I51" s="772"/>
    </row>
    <row r="52" spans="1:9" ht="15.75" customHeight="1" hidden="1" thickBot="1">
      <c r="A52" s="761" t="s">
        <v>148</v>
      </c>
      <c r="B52" s="720"/>
      <c r="C52" s="717"/>
      <c r="D52" s="240"/>
      <c r="E52" s="17"/>
      <c r="F52" s="18"/>
      <c r="G52" s="110"/>
      <c r="H52" s="111"/>
      <c r="I52" s="772"/>
    </row>
    <row r="53" spans="1:9" ht="15.75" customHeight="1" hidden="1" thickBot="1">
      <c r="A53" s="767" t="s">
        <v>169</v>
      </c>
      <c r="B53" s="762"/>
      <c r="C53" s="763"/>
      <c r="D53" s="242"/>
      <c r="E53" s="31"/>
      <c r="F53" s="31"/>
      <c r="G53" s="31"/>
      <c r="H53" s="111"/>
      <c r="I53" s="772"/>
    </row>
    <row r="54" spans="1:9" ht="15.75" customHeight="1" hidden="1" thickBot="1">
      <c r="A54" s="767" t="s">
        <v>144</v>
      </c>
      <c r="B54" s="762"/>
      <c r="C54" s="763"/>
      <c r="D54" s="242"/>
      <c r="E54" s="31"/>
      <c r="F54" s="31"/>
      <c r="G54" s="31"/>
      <c r="H54" s="111"/>
      <c r="I54" s="772"/>
    </row>
    <row r="55" spans="1:9" ht="15.75" customHeight="1" hidden="1" thickBot="1">
      <c r="A55" s="761" t="s">
        <v>146</v>
      </c>
      <c r="B55" s="720"/>
      <c r="C55" s="717"/>
      <c r="D55" s="240"/>
      <c r="E55" s="17"/>
      <c r="F55" s="17"/>
      <c r="G55" s="17"/>
      <c r="H55" s="111"/>
      <c r="I55" s="772"/>
    </row>
    <row r="56" spans="1:9" ht="15.75" customHeight="1" hidden="1" thickBot="1">
      <c r="A56" s="761" t="s">
        <v>153</v>
      </c>
      <c r="B56" s="720"/>
      <c r="C56" s="717"/>
      <c r="D56" s="240"/>
      <c r="E56" s="17"/>
      <c r="F56" s="17"/>
      <c r="G56" s="17"/>
      <c r="H56" s="111"/>
      <c r="I56" s="772"/>
    </row>
    <row r="57" spans="1:9" ht="15.75" customHeight="1" hidden="1" thickBot="1">
      <c r="A57" s="761" t="s">
        <v>148</v>
      </c>
      <c r="B57" s="720"/>
      <c r="C57" s="717"/>
      <c r="D57" s="240"/>
      <c r="E57" s="17"/>
      <c r="F57" s="17"/>
      <c r="G57" s="17"/>
      <c r="H57" s="111"/>
      <c r="I57" s="772"/>
    </row>
    <row r="58" spans="1:9" ht="15.75" customHeight="1" hidden="1" thickBot="1">
      <c r="A58" s="774" t="s">
        <v>174</v>
      </c>
      <c r="B58" s="775"/>
      <c r="C58" s="776"/>
      <c r="D58" s="245"/>
      <c r="E58" s="114"/>
      <c r="F58" s="114"/>
      <c r="G58" s="114"/>
      <c r="H58" s="111"/>
      <c r="I58" s="773"/>
    </row>
    <row r="59" spans="1:9" ht="19.5" customHeight="1" hidden="1" thickBot="1">
      <c r="A59" s="768" t="s">
        <v>166</v>
      </c>
      <c r="B59" s="769"/>
      <c r="C59" s="770"/>
      <c r="D59" s="244"/>
      <c r="E59" s="108"/>
      <c r="F59" s="108"/>
      <c r="G59" s="108"/>
      <c r="H59" s="111"/>
      <c r="I59" s="25" t="s">
        <v>158</v>
      </c>
    </row>
    <row r="60" spans="1:9" ht="19.5" customHeight="1" hidden="1" thickBot="1">
      <c r="A60" s="761" t="s">
        <v>146</v>
      </c>
      <c r="B60" s="720"/>
      <c r="C60" s="717"/>
      <c r="D60" s="240"/>
      <c r="E60" s="18"/>
      <c r="F60" s="18"/>
      <c r="G60" s="110"/>
      <c r="H60" s="111">
        <v>0</v>
      </c>
      <c r="I60" s="26"/>
    </row>
    <row r="61" spans="1:9" ht="19.5" customHeight="1" hidden="1" thickBot="1">
      <c r="A61" s="761" t="s">
        <v>153</v>
      </c>
      <c r="B61" s="720"/>
      <c r="C61" s="717"/>
      <c r="D61" s="240"/>
      <c r="E61" s="19"/>
      <c r="F61" s="19"/>
      <c r="G61" s="20"/>
      <c r="H61" s="111">
        <v>0</v>
      </c>
      <c r="I61" s="26"/>
    </row>
    <row r="62" spans="1:9" ht="19.5" customHeight="1" hidden="1" thickBot="1">
      <c r="A62" s="761" t="s">
        <v>148</v>
      </c>
      <c r="B62" s="720"/>
      <c r="C62" s="717"/>
      <c r="D62" s="240"/>
      <c r="E62" s="18"/>
      <c r="F62" s="18"/>
      <c r="G62" s="110"/>
      <c r="H62" s="111">
        <v>0</v>
      </c>
      <c r="I62" s="26"/>
    </row>
    <row r="63" spans="1:9" ht="19.5" customHeight="1" hidden="1" thickBot="1">
      <c r="A63" s="767" t="s">
        <v>175</v>
      </c>
      <c r="B63" s="762"/>
      <c r="C63" s="763"/>
      <c r="D63" s="242"/>
      <c r="E63" s="31">
        <v>0</v>
      </c>
      <c r="F63" s="31">
        <v>0</v>
      </c>
      <c r="G63" s="31">
        <v>0</v>
      </c>
      <c r="H63" s="111">
        <v>0</v>
      </c>
      <c r="I63" s="26"/>
    </row>
    <row r="64" spans="1:9" ht="19.5" customHeight="1" hidden="1" thickBot="1">
      <c r="A64" s="767" t="s">
        <v>144</v>
      </c>
      <c r="B64" s="762"/>
      <c r="C64" s="763"/>
      <c r="D64" s="242"/>
      <c r="E64" s="31"/>
      <c r="F64" s="31"/>
      <c r="G64" s="31"/>
      <c r="H64" s="111">
        <v>0</v>
      </c>
      <c r="I64" s="26"/>
    </row>
    <row r="65" spans="1:9" ht="19.5" customHeight="1" hidden="1" thickBot="1">
      <c r="A65" s="761" t="s">
        <v>146</v>
      </c>
      <c r="B65" s="720"/>
      <c r="C65" s="717"/>
      <c r="D65" s="240"/>
      <c r="E65" s="17"/>
      <c r="F65" s="17"/>
      <c r="G65" s="17"/>
      <c r="H65" s="111">
        <v>0</v>
      </c>
      <c r="I65" s="26"/>
    </row>
    <row r="66" spans="1:9" ht="19.5" customHeight="1" hidden="1" thickBot="1">
      <c r="A66" s="761" t="s">
        <v>153</v>
      </c>
      <c r="B66" s="720"/>
      <c r="C66" s="717"/>
      <c r="D66" s="240"/>
      <c r="E66" s="17"/>
      <c r="F66" s="17"/>
      <c r="G66" s="17"/>
      <c r="H66" s="111">
        <v>0</v>
      </c>
      <c r="I66" s="26"/>
    </row>
    <row r="67" spans="1:9" ht="19.5" customHeight="1" hidden="1" thickBot="1">
      <c r="A67" s="761" t="s">
        <v>148</v>
      </c>
      <c r="B67" s="720"/>
      <c r="C67" s="717"/>
      <c r="D67" s="240"/>
      <c r="E67" s="17"/>
      <c r="F67" s="17"/>
      <c r="G67" s="17"/>
      <c r="H67" s="111">
        <v>0</v>
      </c>
      <c r="I67" s="26"/>
    </row>
    <row r="68" spans="1:9" ht="19.5" customHeight="1" hidden="1" thickBot="1">
      <c r="A68" s="786" t="s">
        <v>172</v>
      </c>
      <c r="B68" s="787"/>
      <c r="C68" s="788"/>
      <c r="D68" s="248"/>
      <c r="E68" s="174"/>
      <c r="F68" s="174"/>
      <c r="G68" s="174"/>
      <c r="H68" s="111">
        <v>0</v>
      </c>
      <c r="I68" s="27"/>
    </row>
    <row r="69" spans="1:9" ht="15">
      <c r="A69" s="762" t="s">
        <v>166</v>
      </c>
      <c r="B69" s="762"/>
      <c r="C69" s="762"/>
      <c r="D69" s="241"/>
      <c r="E69" s="38">
        <f>E7+E19+E50</f>
        <v>1146250</v>
      </c>
      <c r="F69" s="38">
        <v>0</v>
      </c>
      <c r="G69" s="250">
        <v>1885402</v>
      </c>
      <c r="H69" s="31">
        <f>SUM(E69:G69)</f>
        <v>3031652</v>
      </c>
      <c r="I69" s="741" t="s">
        <v>159</v>
      </c>
    </row>
    <row r="70" spans="1:9" ht="16.5" customHeight="1">
      <c r="A70" s="720" t="s">
        <v>146</v>
      </c>
      <c r="B70" s="720"/>
      <c r="C70" s="720"/>
      <c r="D70" s="239"/>
      <c r="E70" s="249"/>
      <c r="F70" s="249"/>
      <c r="G70" s="19">
        <v>199730</v>
      </c>
      <c r="H70" s="31">
        <f>SUM(E70:G70)</f>
        <v>199730</v>
      </c>
      <c r="I70" s="740"/>
    </row>
    <row r="71" spans="1:9" ht="16.5" customHeight="1">
      <c r="A71" s="761" t="s">
        <v>58</v>
      </c>
      <c r="B71" s="720"/>
      <c r="C71" s="717"/>
      <c r="D71" s="240"/>
      <c r="E71" s="19"/>
      <c r="F71" s="17">
        <v>-951712</v>
      </c>
      <c r="G71" s="40">
        <v>951712</v>
      </c>
      <c r="H71" s="31">
        <f>SUM(E71:G71)</f>
        <v>0</v>
      </c>
      <c r="I71" s="740"/>
    </row>
    <row r="72" spans="1:9" ht="18" customHeight="1">
      <c r="A72" s="720" t="s">
        <v>148</v>
      </c>
      <c r="B72" s="720"/>
      <c r="C72" s="717"/>
      <c r="D72" s="240"/>
      <c r="E72" s="18"/>
      <c r="F72" s="18"/>
      <c r="G72" s="18"/>
      <c r="H72" s="31">
        <f>SUM(E72:G72)</f>
        <v>0</v>
      </c>
      <c r="I72" s="740"/>
    </row>
    <row r="73" spans="1:9" ht="26.25" customHeight="1">
      <c r="A73" s="717" t="s">
        <v>149</v>
      </c>
      <c r="B73" s="718"/>
      <c r="C73" s="719"/>
      <c r="D73" s="243"/>
      <c r="E73" s="18">
        <v>0</v>
      </c>
      <c r="F73" s="17">
        <v>0</v>
      </c>
      <c r="G73" s="17">
        <v>0</v>
      </c>
      <c r="H73" s="31">
        <f>SUM(E73:G73)</f>
        <v>0</v>
      </c>
      <c r="I73" s="740"/>
    </row>
    <row r="74" spans="1:9" ht="15">
      <c r="A74" s="762" t="s">
        <v>169</v>
      </c>
      <c r="B74" s="762"/>
      <c r="C74" s="763"/>
      <c r="D74" s="242"/>
      <c r="E74" s="31">
        <f>SUM(E69:E73)</f>
        <v>1146250</v>
      </c>
      <c r="F74" s="31">
        <f>SUM(F69:F73)</f>
        <v>-951712</v>
      </c>
      <c r="G74" s="31">
        <f>SUM(G69:G73)</f>
        <v>3036844</v>
      </c>
      <c r="H74" s="89">
        <f>SUM(H69:H73)</f>
        <v>3231382</v>
      </c>
      <c r="I74" s="740"/>
    </row>
    <row r="75" spans="1:9" ht="15">
      <c r="A75" s="762" t="s">
        <v>144</v>
      </c>
      <c r="B75" s="762"/>
      <c r="C75" s="763"/>
      <c r="D75" s="247"/>
      <c r="E75" s="89">
        <v>1146250</v>
      </c>
      <c r="F75" s="89">
        <v>0</v>
      </c>
      <c r="G75" s="89">
        <v>1697419</v>
      </c>
      <c r="H75" s="89">
        <f aca="true" t="shared" si="0" ref="H75:H80">SUM(E75:G75)</f>
        <v>2843669</v>
      </c>
      <c r="I75" s="740"/>
    </row>
    <row r="76" spans="1:9" ht="15">
      <c r="A76" s="720" t="s">
        <v>146</v>
      </c>
      <c r="B76" s="720"/>
      <c r="C76" s="717"/>
      <c r="D76" s="240"/>
      <c r="E76" s="17"/>
      <c r="F76" s="17"/>
      <c r="G76" s="17">
        <v>160025</v>
      </c>
      <c r="H76" s="89">
        <f t="shared" si="0"/>
        <v>160025</v>
      </c>
      <c r="I76" s="740"/>
    </row>
    <row r="77" spans="1:9" ht="15">
      <c r="A77" s="761" t="s">
        <v>58</v>
      </c>
      <c r="B77" s="720"/>
      <c r="C77" s="717"/>
      <c r="D77" s="240"/>
      <c r="E77" s="17"/>
      <c r="F77" s="17"/>
      <c r="G77" s="17"/>
      <c r="H77" s="89">
        <f t="shared" si="0"/>
        <v>0</v>
      </c>
      <c r="I77" s="740"/>
    </row>
    <row r="78" spans="1:9" ht="18" customHeight="1">
      <c r="A78" s="765" t="s">
        <v>150</v>
      </c>
      <c r="B78" s="718"/>
      <c r="C78" s="719"/>
      <c r="D78" s="243"/>
      <c r="E78" s="17"/>
      <c r="F78" s="17"/>
      <c r="G78" s="17"/>
      <c r="H78" s="89">
        <f t="shared" si="0"/>
        <v>0</v>
      </c>
      <c r="I78" s="740"/>
    </row>
    <row r="79" spans="1:9" ht="15">
      <c r="A79" s="720" t="s">
        <v>148</v>
      </c>
      <c r="B79" s="720"/>
      <c r="C79" s="717"/>
      <c r="D79" s="240"/>
      <c r="E79" s="17"/>
      <c r="F79" s="17">
        <v>0</v>
      </c>
      <c r="G79" s="17">
        <v>0</v>
      </c>
      <c r="H79" s="89">
        <f t="shared" si="0"/>
        <v>0</v>
      </c>
      <c r="I79" s="740"/>
    </row>
    <row r="80" spans="1:9" ht="15">
      <c r="A80" s="762" t="s">
        <v>172</v>
      </c>
      <c r="B80" s="762"/>
      <c r="C80" s="763"/>
      <c r="D80" s="242"/>
      <c r="E80" s="31">
        <v>1146250</v>
      </c>
      <c r="F80" s="31">
        <v>0</v>
      </c>
      <c r="G80" s="31">
        <f>G75+G76+G77+G78+G79</f>
        <v>1857444</v>
      </c>
      <c r="H80" s="89">
        <f t="shared" si="0"/>
        <v>3003694</v>
      </c>
      <c r="I80" s="766"/>
    </row>
    <row r="81" spans="1:9" s="10" customFormat="1" ht="18.75">
      <c r="A81" s="183"/>
      <c r="B81" s="183"/>
      <c r="C81" s="183"/>
      <c r="D81" s="183"/>
      <c r="E81" s="184"/>
      <c r="F81" s="184"/>
      <c r="G81" s="184"/>
      <c r="H81" s="184"/>
      <c r="I81" s="26"/>
    </row>
    <row r="82" spans="1:9" ht="15">
      <c r="A82" s="10"/>
      <c r="B82" s="13"/>
      <c r="C82" s="10"/>
      <c r="E82" s="10"/>
      <c r="F82" s="21"/>
      <c r="G82" s="10"/>
      <c r="H82" s="10"/>
      <c r="I82" s="13"/>
    </row>
    <row r="83" spans="1:9" ht="15.75">
      <c r="A83" s="120" t="s">
        <v>394</v>
      </c>
      <c r="B83" s="120"/>
      <c r="C83" s="120"/>
      <c r="D83" s="120"/>
      <c r="E83" s="173"/>
      <c r="F83" s="10"/>
      <c r="G83" s="10"/>
      <c r="H83" s="28"/>
      <c r="I83" s="22"/>
    </row>
    <row r="84" spans="1:9" ht="15.75">
      <c r="A84" s="120"/>
      <c r="B84" s="120"/>
      <c r="C84" s="120"/>
      <c r="D84" s="120"/>
      <c r="E84" s="169"/>
      <c r="F84" s="176"/>
      <c r="G84" s="29"/>
      <c r="H84" s="10"/>
      <c r="I84" s="22"/>
    </row>
    <row r="85" spans="1:9" ht="15.75">
      <c r="A85" s="120" t="s">
        <v>396</v>
      </c>
      <c r="B85" s="120"/>
      <c r="C85" s="120"/>
      <c r="D85" s="120"/>
      <c r="E85" s="7"/>
      <c r="F85" s="177"/>
      <c r="G85" s="30"/>
      <c r="H85" s="10"/>
      <c r="I85" s="22"/>
    </row>
    <row r="86" spans="1:9" ht="15">
      <c r="A86" s="24"/>
      <c r="B86" s="22"/>
      <c r="C86" s="177"/>
      <c r="D86" s="177"/>
      <c r="E86" s="177"/>
      <c r="F86" s="177"/>
      <c r="G86" s="29"/>
      <c r="H86" s="10"/>
      <c r="I86" s="22"/>
    </row>
    <row r="87" spans="1:9" ht="15">
      <c r="A87" s="23"/>
      <c r="B87" s="22"/>
      <c r="C87" s="764"/>
      <c r="D87" s="764"/>
      <c r="E87" s="764"/>
      <c r="F87" s="177"/>
      <c r="G87" s="29"/>
      <c r="H87" s="10"/>
      <c r="I87" s="22"/>
    </row>
    <row r="88" spans="1:9" ht="15">
      <c r="A88" s="22"/>
      <c r="B88" s="22"/>
      <c r="C88" s="739"/>
      <c r="D88" s="739"/>
      <c r="E88" s="739"/>
      <c r="F88" s="175"/>
      <c r="G88" s="30"/>
      <c r="H88" s="10"/>
      <c r="I88" s="13"/>
    </row>
  </sheetData>
  <sheetProtection/>
  <mergeCells count="85">
    <mergeCell ref="A65:C65"/>
    <mergeCell ref="A66:C66"/>
    <mergeCell ref="A45:C45"/>
    <mergeCell ref="A46:C46"/>
    <mergeCell ref="A47:C47"/>
    <mergeCell ref="A48:C48"/>
    <mergeCell ref="A59:C59"/>
    <mergeCell ref="A60:C60"/>
    <mergeCell ref="A58:C58"/>
    <mergeCell ref="A55:C55"/>
    <mergeCell ref="A41:C41"/>
    <mergeCell ref="A42:C42"/>
    <mergeCell ref="A43:C43"/>
    <mergeCell ref="A44:C44"/>
    <mergeCell ref="A67:C67"/>
    <mergeCell ref="A68:C68"/>
    <mergeCell ref="A61:C61"/>
    <mergeCell ref="A62:C62"/>
    <mergeCell ref="A63:C63"/>
    <mergeCell ref="A64:C64"/>
    <mergeCell ref="A2:H2"/>
    <mergeCell ref="A3:H3"/>
    <mergeCell ref="A4:H4"/>
    <mergeCell ref="A6:C6"/>
    <mergeCell ref="A7:C7"/>
    <mergeCell ref="A40:C40"/>
    <mergeCell ref="A11:C11"/>
    <mergeCell ref="A39:C39"/>
    <mergeCell ref="A15:C15"/>
    <mergeCell ref="A17:C17"/>
    <mergeCell ref="I19:I28"/>
    <mergeCell ref="A20:C20"/>
    <mergeCell ref="A21:C21"/>
    <mergeCell ref="A19:C19"/>
    <mergeCell ref="A29:C29"/>
    <mergeCell ref="I29:I38"/>
    <mergeCell ref="A30:C30"/>
    <mergeCell ref="A31:C31"/>
    <mergeCell ref="A32:C32"/>
    <mergeCell ref="A36:C36"/>
    <mergeCell ref="A16:C16"/>
    <mergeCell ref="I7:I18"/>
    <mergeCell ref="A8:C8"/>
    <mergeCell ref="A9:C9"/>
    <mergeCell ref="A10:C10"/>
    <mergeCell ref="A12:C12"/>
    <mergeCell ref="A13:C13"/>
    <mergeCell ref="A14:C14"/>
    <mergeCell ref="A18:C18"/>
    <mergeCell ref="A37:C37"/>
    <mergeCell ref="A38:C38"/>
    <mergeCell ref="A22:C22"/>
    <mergeCell ref="A23:C23"/>
    <mergeCell ref="A24:C24"/>
    <mergeCell ref="A25:C25"/>
    <mergeCell ref="A26:C26"/>
    <mergeCell ref="A27:C27"/>
    <mergeCell ref="A28:C28"/>
    <mergeCell ref="A33:C33"/>
    <mergeCell ref="A34:C34"/>
    <mergeCell ref="A35:C35"/>
    <mergeCell ref="A49:C49"/>
    <mergeCell ref="I49:I58"/>
    <mergeCell ref="A50:C50"/>
    <mergeCell ref="A51:C51"/>
    <mergeCell ref="A52:C52"/>
    <mergeCell ref="A53:C53"/>
    <mergeCell ref="A54:C54"/>
    <mergeCell ref="A56:C56"/>
    <mergeCell ref="A57:C57"/>
    <mergeCell ref="A69:C69"/>
    <mergeCell ref="I69:I80"/>
    <mergeCell ref="A70:C70"/>
    <mergeCell ref="A71:C71"/>
    <mergeCell ref="A72:C72"/>
    <mergeCell ref="A74:C74"/>
    <mergeCell ref="A75:C75"/>
    <mergeCell ref="A76:C76"/>
    <mergeCell ref="A73:C73"/>
    <mergeCell ref="C88:E88"/>
    <mergeCell ref="A77:C77"/>
    <mergeCell ref="A79:C79"/>
    <mergeCell ref="A80:C80"/>
    <mergeCell ref="C87:E87"/>
    <mergeCell ref="A78:C78"/>
  </mergeCells>
  <printOptions/>
  <pageMargins left="0.7086614173228347" right="0.7086614173228347" top="0.7480314960629921" bottom="0.7480314960629921" header="0.31496062992125984" footer="0.31496062992125984"/>
  <pageSetup horizontalDpi="600" verticalDpi="600" orientation="landscape" paperSize="9" scale="99" r:id="rId1"/>
  <colBreaks count="1" manualBreakCount="1">
    <brk id="8" max="65535" man="1"/>
  </colBreaks>
</worksheet>
</file>

<file path=xl/worksheets/sheet9.xml><?xml version="1.0" encoding="utf-8"?>
<worksheet xmlns="http://schemas.openxmlformats.org/spreadsheetml/2006/main" xmlns:r="http://schemas.openxmlformats.org/officeDocument/2006/relationships">
  <dimension ref="A3:AK188"/>
  <sheetViews>
    <sheetView zoomScalePageLayoutView="0" workbookViewId="0" topLeftCell="A166">
      <selection activeCell="A178" sqref="A178:A188"/>
    </sheetView>
  </sheetViews>
  <sheetFormatPr defaultColWidth="37.8515625" defaultRowHeight="15"/>
  <cols>
    <col min="1" max="1" width="36.28125" style="0" bestFit="1" customWidth="1"/>
    <col min="2" max="2" width="16.00390625" style="0" customWidth="1"/>
    <col min="3" max="5" width="15.421875" style="0" bestFit="1" customWidth="1"/>
    <col min="6" max="6" width="16.28125" style="0" customWidth="1"/>
    <col min="7" max="7" width="13.8515625" style="0" bestFit="1" customWidth="1"/>
    <col min="8" max="8" width="11.7109375" style="0" bestFit="1" customWidth="1"/>
    <col min="9" max="10" width="13.8515625" style="0" bestFit="1" customWidth="1"/>
    <col min="11" max="11" width="15.421875" style="0" bestFit="1" customWidth="1"/>
    <col min="12" max="12" width="11.7109375" style="0" bestFit="1" customWidth="1"/>
    <col min="13" max="13" width="6.57421875" style="0" bestFit="1" customWidth="1"/>
    <col min="14" max="14" width="12.7109375" style="0" bestFit="1" customWidth="1"/>
    <col min="15" max="15" width="11.7109375" style="0" bestFit="1" customWidth="1"/>
    <col min="16" max="16" width="16.421875" style="0" bestFit="1" customWidth="1"/>
    <col min="17" max="18" width="37.8515625" style="0" customWidth="1"/>
    <col min="19" max="19" width="15.421875" style="0" bestFit="1" customWidth="1"/>
    <col min="20" max="21" width="13.8515625" style="0" bestFit="1" customWidth="1"/>
    <col min="22" max="22" width="15.421875" style="0" bestFit="1" customWidth="1"/>
    <col min="23" max="24" width="12.7109375" style="0" bestFit="1" customWidth="1"/>
    <col min="25" max="25" width="13.8515625" style="0" bestFit="1" customWidth="1"/>
    <col min="26" max="26" width="15.28125" style="0" bestFit="1" customWidth="1"/>
    <col min="27" max="27" width="15.140625" style="0" bestFit="1" customWidth="1"/>
    <col min="28" max="29" width="11.7109375" style="0" bestFit="1" customWidth="1"/>
    <col min="30" max="30" width="12.7109375" style="0" bestFit="1" customWidth="1"/>
    <col min="31" max="31" width="10.140625" style="0" bestFit="1" customWidth="1"/>
    <col min="32" max="32" width="12.7109375" style="0" bestFit="1" customWidth="1"/>
    <col min="33" max="33" width="13.8515625" style="0" bestFit="1" customWidth="1"/>
    <col min="34" max="34" width="11.7109375" style="0" bestFit="1" customWidth="1"/>
    <col min="35" max="35" width="12.7109375" style="0" bestFit="1" customWidth="1"/>
    <col min="36" max="36" width="15.28125" style="0" bestFit="1" customWidth="1"/>
    <col min="37" max="37" width="15.140625" style="0" bestFit="1" customWidth="1"/>
  </cols>
  <sheetData>
    <row r="3" spans="1:7" ht="15">
      <c r="A3" s="370" t="s">
        <v>499</v>
      </c>
      <c r="B3" s="789" t="s">
        <v>678</v>
      </c>
      <c r="C3" s="789"/>
      <c r="D3" s="789" t="s">
        <v>679</v>
      </c>
      <c r="E3" s="789"/>
      <c r="F3" s="789" t="s">
        <v>680</v>
      </c>
      <c r="G3" s="789"/>
    </row>
    <row r="4" spans="1:7" ht="15">
      <c r="A4" s="370" t="s">
        <v>681</v>
      </c>
      <c r="B4" s="789" t="s">
        <v>682</v>
      </c>
      <c r="C4" s="789" t="s">
        <v>683</v>
      </c>
      <c r="D4" s="789" t="s">
        <v>682</v>
      </c>
      <c r="E4" s="789" t="s">
        <v>683</v>
      </c>
      <c r="F4" s="789" t="s">
        <v>682</v>
      </c>
      <c r="G4" s="789" t="s">
        <v>683</v>
      </c>
    </row>
    <row r="5" spans="1:7" ht="15">
      <c r="A5" s="370" t="s">
        <v>684</v>
      </c>
      <c r="B5" s="789"/>
      <c r="C5" s="789"/>
      <c r="D5" s="789"/>
      <c r="E5" s="789"/>
      <c r="F5" s="789"/>
      <c r="G5" s="789"/>
    </row>
    <row r="6" spans="1:7" ht="15">
      <c r="A6" s="371" t="s">
        <v>0</v>
      </c>
      <c r="B6" s="372"/>
      <c r="C6" s="373">
        <f>B7+B20+B27</f>
        <v>-88748.56</v>
      </c>
      <c r="D6" s="373">
        <v>8007621935.8</v>
      </c>
      <c r="E6" s="373">
        <v>6173166119.610001</v>
      </c>
      <c r="F6" s="373">
        <v>268527882.3</v>
      </c>
      <c r="G6" s="372"/>
    </row>
    <row r="7" spans="1:7" ht="15">
      <c r="A7" s="374">
        <v>1210</v>
      </c>
      <c r="B7" s="375">
        <f>SUM(B8:B19)</f>
        <v>-35912.990000000005</v>
      </c>
      <c r="C7" s="376"/>
      <c r="D7" s="375">
        <v>7998124430.06</v>
      </c>
      <c r="E7" s="375">
        <v>6165097389.0199995</v>
      </c>
      <c r="F7" s="375">
        <v>268584755.75</v>
      </c>
      <c r="G7" s="376"/>
    </row>
    <row r="8" spans="1:7" ht="22.5">
      <c r="A8" s="377" t="s">
        <v>685</v>
      </c>
      <c r="B8" s="378">
        <v>-17092.5</v>
      </c>
      <c r="C8" s="379"/>
      <c r="D8" s="378">
        <v>22790</v>
      </c>
      <c r="E8" s="378">
        <v>5697.5</v>
      </c>
      <c r="F8" s="379"/>
      <c r="G8" s="379"/>
    </row>
    <row r="9" spans="1:7" ht="15">
      <c r="A9" s="377" t="s">
        <v>686</v>
      </c>
      <c r="B9" s="380">
        <v>-0.05</v>
      </c>
      <c r="C9" s="379"/>
      <c r="D9" s="378">
        <v>1705.05</v>
      </c>
      <c r="E9" s="378">
        <v>1705</v>
      </c>
      <c r="F9" s="379"/>
      <c r="G9" s="379"/>
    </row>
    <row r="10" spans="1:7" ht="15">
      <c r="A10" s="377" t="s">
        <v>687</v>
      </c>
      <c r="B10" s="380">
        <v>-0.49</v>
      </c>
      <c r="C10" s="379"/>
      <c r="D10" s="378">
        <v>198000</v>
      </c>
      <c r="E10" s="378">
        <v>198000</v>
      </c>
      <c r="F10" s="380">
        <v>-0.49</v>
      </c>
      <c r="G10" s="379"/>
    </row>
    <row r="11" spans="1:7" ht="15">
      <c r="A11" s="377" t="s">
        <v>688</v>
      </c>
      <c r="B11" s="380">
        <v>-202</v>
      </c>
      <c r="C11" s="379"/>
      <c r="D11" s="380">
        <v>202</v>
      </c>
      <c r="E11" s="379"/>
      <c r="F11" s="379"/>
      <c r="G11" s="379"/>
    </row>
    <row r="12" spans="1:7" ht="15">
      <c r="A12" s="377" t="s">
        <v>689</v>
      </c>
      <c r="B12" s="380">
        <v>-0.02</v>
      </c>
      <c r="C12" s="379"/>
      <c r="D12" s="378">
        <v>35862.53</v>
      </c>
      <c r="E12" s="378">
        <v>35862.53</v>
      </c>
      <c r="F12" s="380">
        <v>-0.02</v>
      </c>
      <c r="G12" s="379"/>
    </row>
    <row r="13" spans="1:7" ht="15">
      <c r="A13" s="377" t="s">
        <v>690</v>
      </c>
      <c r="B13" s="378">
        <v>-13117.2</v>
      </c>
      <c r="C13" s="379"/>
      <c r="D13" s="379"/>
      <c r="E13" s="379"/>
      <c r="F13" s="378">
        <v>-13117.2</v>
      </c>
      <c r="G13" s="379"/>
    </row>
    <row r="14" spans="1:7" ht="15">
      <c r="A14" s="377" t="s">
        <v>691</v>
      </c>
      <c r="B14" s="380">
        <v>-0.15</v>
      </c>
      <c r="C14" s="379"/>
      <c r="D14" s="380">
        <v>916.11</v>
      </c>
      <c r="E14" s="380">
        <v>916.11</v>
      </c>
      <c r="F14" s="380">
        <v>-0.15</v>
      </c>
      <c r="G14" s="379"/>
    </row>
    <row r="16" spans="1:7" ht="15">
      <c r="A16" s="377" t="s">
        <v>693</v>
      </c>
      <c r="B16" s="380">
        <v>-0.3</v>
      </c>
      <c r="C16" s="379"/>
      <c r="D16" s="379"/>
      <c r="E16" s="379"/>
      <c r="F16" s="380">
        <v>-0.3</v>
      </c>
      <c r="G16" s="379"/>
    </row>
    <row r="17" spans="1:7" ht="15">
      <c r="A17" s="377" t="s">
        <v>694</v>
      </c>
      <c r="B17" s="380">
        <v>-0.1</v>
      </c>
      <c r="C17" s="379"/>
      <c r="D17" s="378">
        <v>3033.76</v>
      </c>
      <c r="E17" s="378">
        <v>3033.75</v>
      </c>
      <c r="F17" s="380">
        <v>-0.09</v>
      </c>
      <c r="G17" s="379"/>
    </row>
    <row r="18" spans="1:7" ht="15">
      <c r="A18" s="377" t="s">
        <v>695</v>
      </c>
      <c r="B18" s="378">
        <v>-1600.18</v>
      </c>
      <c r="C18" s="379"/>
      <c r="D18" s="379"/>
      <c r="E18" s="379"/>
      <c r="F18" s="378">
        <v>-1600.18</v>
      </c>
      <c r="G18" s="379"/>
    </row>
    <row r="19" spans="1:7" ht="15">
      <c r="A19" s="377" t="s">
        <v>696</v>
      </c>
      <c r="B19" s="378">
        <v>-3900</v>
      </c>
      <c r="C19" s="379"/>
      <c r="D19" s="379"/>
      <c r="E19" s="379"/>
      <c r="F19" s="378">
        <v>-3900</v>
      </c>
      <c r="G19" s="379"/>
    </row>
    <row r="20" spans="1:7" ht="15">
      <c r="A20" s="374">
        <v>1251</v>
      </c>
      <c r="B20" s="375">
        <v>-48585</v>
      </c>
      <c r="C20" s="376"/>
      <c r="D20" s="375">
        <v>7870300</v>
      </c>
      <c r="E20" s="375">
        <v>7874337.88</v>
      </c>
      <c r="F20" s="375">
        <v>-52622.88</v>
      </c>
      <c r="G20" s="376"/>
    </row>
    <row r="21" spans="1:7" ht="15">
      <c r="A21" s="377" t="s">
        <v>700</v>
      </c>
      <c r="B21" s="378">
        <v>-24000</v>
      </c>
      <c r="C21" s="379"/>
      <c r="D21" s="378">
        <v>93989</v>
      </c>
      <c r="E21" s="378">
        <v>69989</v>
      </c>
      <c r="F21" s="379"/>
      <c r="G21" s="379"/>
    </row>
    <row r="22" spans="1:7" ht="15">
      <c r="A22" s="377" t="s">
        <v>701</v>
      </c>
      <c r="B22" s="378">
        <v>-6572</v>
      </c>
      <c r="C22" s="379"/>
      <c r="D22" s="378">
        <v>1866822</v>
      </c>
      <c r="E22" s="378">
        <v>1766370</v>
      </c>
      <c r="F22" s="378">
        <v>93880</v>
      </c>
      <c r="G22" s="379"/>
    </row>
    <row r="23" spans="1:7" ht="15">
      <c r="A23" s="377" t="s">
        <v>702</v>
      </c>
      <c r="B23" s="380">
        <v>-22</v>
      </c>
      <c r="C23" s="379"/>
      <c r="D23" s="379"/>
      <c r="E23" s="379"/>
      <c r="F23" s="380">
        <v>-22</v>
      </c>
      <c r="G23" s="379"/>
    </row>
    <row r="24" spans="1:7" ht="15">
      <c r="A24" s="377" t="s">
        <v>703</v>
      </c>
      <c r="B24" s="380">
        <v>-80</v>
      </c>
      <c r="C24" s="379"/>
      <c r="D24" s="378">
        <v>1061519</v>
      </c>
      <c r="E24" s="378">
        <v>1061439</v>
      </c>
      <c r="F24" s="379"/>
      <c r="G24" s="379"/>
    </row>
    <row r="25" spans="1:7" ht="15">
      <c r="A25" s="377" t="s">
        <v>704</v>
      </c>
      <c r="B25" s="378">
        <v>-6575</v>
      </c>
      <c r="C25" s="379"/>
      <c r="D25" s="378">
        <v>2793000</v>
      </c>
      <c r="E25" s="378">
        <v>2972021.88</v>
      </c>
      <c r="F25" s="378">
        <v>-185596.88</v>
      </c>
      <c r="G25" s="379"/>
    </row>
    <row r="26" spans="1:7" ht="15">
      <c r="A26" s="377" t="s">
        <v>705</v>
      </c>
      <c r="B26" s="378">
        <v>-11336</v>
      </c>
      <c r="C26" s="379"/>
      <c r="D26" s="378">
        <v>2054970</v>
      </c>
      <c r="E26" s="378">
        <v>2004518</v>
      </c>
      <c r="F26" s="378">
        <v>39116</v>
      </c>
      <c r="G26" s="379"/>
    </row>
    <row r="27" spans="1:7" ht="15">
      <c r="A27" s="374">
        <v>1254</v>
      </c>
      <c r="B27" s="375">
        <v>-4250.57</v>
      </c>
      <c r="C27" s="376"/>
      <c r="D27" s="376"/>
      <c r="E27" s="376"/>
      <c r="F27" s="375">
        <v>-4250.57</v>
      </c>
      <c r="G27" s="376"/>
    </row>
    <row r="28" spans="1:7" ht="15">
      <c r="A28" s="377" t="s">
        <v>706</v>
      </c>
      <c r="B28" s="378">
        <v>-4250</v>
      </c>
      <c r="C28" s="379"/>
      <c r="D28" s="379"/>
      <c r="E28" s="379"/>
      <c r="F28" s="378">
        <v>-4250</v>
      </c>
      <c r="G28" s="379"/>
    </row>
    <row r="29" spans="1:7" ht="15">
      <c r="A29" s="377" t="s">
        <v>707</v>
      </c>
      <c r="B29" s="380">
        <v>-0.28</v>
      </c>
      <c r="C29" s="379"/>
      <c r="D29" s="379"/>
      <c r="E29" s="379"/>
      <c r="F29" s="380">
        <v>-0.28</v>
      </c>
      <c r="G29" s="379"/>
    </row>
    <row r="30" spans="1:7" ht="15">
      <c r="A30" s="377" t="s">
        <v>708</v>
      </c>
      <c r="B30" s="380">
        <v>-0.29</v>
      </c>
      <c r="C30" s="379"/>
      <c r="D30" s="379"/>
      <c r="E30" s="379"/>
      <c r="F30" s="380">
        <v>-0.29</v>
      </c>
      <c r="G30" s="379"/>
    </row>
    <row r="31" spans="1:7" ht="15">
      <c r="A31" s="381" t="s">
        <v>329</v>
      </c>
      <c r="B31" s="382"/>
      <c r="C31" s="383">
        <v>1565927933.8899999</v>
      </c>
      <c r="D31" s="383">
        <v>8007621935.8</v>
      </c>
      <c r="E31" s="383">
        <v>6173166119.610001</v>
      </c>
      <c r="F31" s="383">
        <v>268527882.3</v>
      </c>
      <c r="G31" s="382"/>
    </row>
    <row r="35" spans="1:7" ht="15">
      <c r="A35" s="377" t="s">
        <v>692</v>
      </c>
      <c r="B35" s="378">
        <v>-1564406372.3</v>
      </c>
      <c r="C35" s="379"/>
      <c r="D35" s="378">
        <v>7997861920.61</v>
      </c>
      <c r="E35" s="378">
        <v>6164852174.13</v>
      </c>
      <c r="F35" s="378">
        <v>268603374.18</v>
      </c>
      <c r="G35" s="379"/>
    </row>
    <row r="36" spans="1:7" ht="15">
      <c r="A36" s="374"/>
      <c r="B36" s="375"/>
      <c r="C36" s="376"/>
      <c r="D36" s="375"/>
      <c r="E36" s="375"/>
      <c r="F36" s="376"/>
      <c r="G36" s="376"/>
    </row>
    <row r="37" spans="1:7" ht="22.5">
      <c r="A37" s="377" t="s">
        <v>697</v>
      </c>
      <c r="B37" s="378">
        <v>-260118.46</v>
      </c>
      <c r="C37" s="379"/>
      <c r="D37" s="378">
        <v>271120.29</v>
      </c>
      <c r="E37" s="378">
        <v>11001.83</v>
      </c>
      <c r="F37" s="379"/>
      <c r="G37" s="379"/>
    </row>
    <row r="38" spans="1:7" ht="22.5">
      <c r="A38" s="377" t="s">
        <v>698</v>
      </c>
      <c r="B38" s="378">
        <v>-1156242.64</v>
      </c>
      <c r="C38" s="379"/>
      <c r="D38" s="378">
        <v>1339633.52</v>
      </c>
      <c r="E38" s="378">
        <v>183390.88</v>
      </c>
      <c r="F38" s="379"/>
      <c r="G38" s="379"/>
    </row>
    <row r="39" spans="1:7" ht="15">
      <c r="A39" s="377" t="s">
        <v>699</v>
      </c>
      <c r="B39" s="378">
        <v>-16451.93</v>
      </c>
      <c r="C39" s="379"/>
      <c r="D39" s="378">
        <v>16451.93</v>
      </c>
      <c r="E39" s="379"/>
      <c r="F39" s="379"/>
      <c r="G39" s="379"/>
    </row>
    <row r="40" spans="1:7" ht="22.5">
      <c r="A40" s="377" t="s">
        <v>709</v>
      </c>
      <c r="B40" s="378">
        <v>1172901207.02</v>
      </c>
      <c r="C40" s="379"/>
      <c r="D40" s="378">
        <v>1121310445.55</v>
      </c>
      <c r="E40" s="378">
        <v>2294211652.5699997</v>
      </c>
      <c r="F40" s="379"/>
      <c r="G40" s="379"/>
    </row>
    <row r="41" spans="1:7" ht="22.5">
      <c r="A41" s="377" t="s">
        <v>710</v>
      </c>
      <c r="B41" s="378">
        <v>6682082.55</v>
      </c>
      <c r="C41" s="379"/>
      <c r="D41" s="378">
        <v>740339.29</v>
      </c>
      <c r="E41" s="378">
        <v>7422421.84</v>
      </c>
      <c r="F41" s="379"/>
      <c r="G41" s="379"/>
    </row>
    <row r="42" spans="1:7" ht="22.5">
      <c r="A42" s="377" t="s">
        <v>697</v>
      </c>
      <c r="B42" s="378">
        <v>123958094.54</v>
      </c>
      <c r="C42" s="379"/>
      <c r="D42" s="378">
        <v>121344448.29</v>
      </c>
      <c r="E42" s="378">
        <v>245302542.83</v>
      </c>
      <c r="F42" s="379"/>
      <c r="G42" s="379"/>
    </row>
    <row r="43" spans="1:7" ht="22.5">
      <c r="A43" s="377" t="s">
        <v>711</v>
      </c>
      <c r="B43" s="378">
        <v>17597288.98</v>
      </c>
      <c r="C43" s="379"/>
      <c r="D43" s="378">
        <v>24543787.18</v>
      </c>
      <c r="E43" s="378">
        <v>42141076.16</v>
      </c>
      <c r="F43" s="379"/>
      <c r="G43" s="379"/>
    </row>
    <row r="44" spans="1:7" ht="22.5">
      <c r="A44" s="377" t="s">
        <v>698</v>
      </c>
      <c r="B44" s="378">
        <v>540568783.56</v>
      </c>
      <c r="C44" s="379"/>
      <c r="D44" s="378">
        <v>439501774.34</v>
      </c>
      <c r="E44" s="378">
        <v>980070557.9</v>
      </c>
      <c r="F44" s="379"/>
      <c r="G44" s="379"/>
    </row>
    <row r="45" spans="1:7" ht="15">
      <c r="A45" s="377" t="s">
        <v>712</v>
      </c>
      <c r="B45" s="378">
        <v>564780.78</v>
      </c>
      <c r="C45" s="379"/>
      <c r="D45" s="379"/>
      <c r="E45" s="378">
        <v>564780.78</v>
      </c>
      <c r="F45" s="379"/>
      <c r="G45" s="379"/>
    </row>
    <row r="46" spans="1:7" ht="15">
      <c r="A46" s="377" t="s">
        <v>713</v>
      </c>
      <c r="B46" s="378">
        <v>38730559.97</v>
      </c>
      <c r="C46" s="379"/>
      <c r="D46" s="378">
        <v>35982389.29</v>
      </c>
      <c r="E46" s="378">
        <v>74712949.26</v>
      </c>
      <c r="F46" s="379"/>
      <c r="G46" s="379"/>
    </row>
    <row r="47" spans="1:7" ht="15">
      <c r="A47" s="377" t="s">
        <v>714</v>
      </c>
      <c r="B47" s="378">
        <v>31775492.08</v>
      </c>
      <c r="C47" s="379"/>
      <c r="D47" s="378">
        <v>20148200.52</v>
      </c>
      <c r="E47" s="378">
        <v>51923692.6</v>
      </c>
      <c r="F47" s="379"/>
      <c r="G47" s="379"/>
    </row>
    <row r="48" spans="1:7" ht="15">
      <c r="A48" s="377" t="s">
        <v>699</v>
      </c>
      <c r="B48" s="378">
        <v>3951611.58</v>
      </c>
      <c r="C48" s="379"/>
      <c r="D48" s="378">
        <v>3732452.81</v>
      </c>
      <c r="E48" s="378">
        <v>7684064.39</v>
      </c>
      <c r="F48" s="379"/>
      <c r="G48" s="379"/>
    </row>
    <row r="49" spans="1:7" ht="22.5">
      <c r="A49" s="377" t="s">
        <v>715</v>
      </c>
      <c r="B49" s="378">
        <v>95255.14</v>
      </c>
      <c r="C49" s="379"/>
      <c r="D49" s="379"/>
      <c r="E49" s="378">
        <v>95255.14</v>
      </c>
      <c r="F49" s="379"/>
      <c r="G49" s="379"/>
    </row>
    <row r="50" ht="15">
      <c r="B50" s="266">
        <f>SUM(B35:B49)</f>
        <v>370985970.86999977</v>
      </c>
    </row>
    <row r="53" spans="1:7" ht="15">
      <c r="A53" s="370" t="s">
        <v>499</v>
      </c>
      <c r="B53" s="789" t="s">
        <v>678</v>
      </c>
      <c r="C53" s="789"/>
      <c r="D53" s="789" t="s">
        <v>679</v>
      </c>
      <c r="E53" s="789"/>
      <c r="F53" s="789" t="s">
        <v>680</v>
      </c>
      <c r="G53" s="789"/>
    </row>
    <row r="54" spans="1:7" ht="15">
      <c r="A54" s="370" t="s">
        <v>681</v>
      </c>
      <c r="B54" s="789" t="s">
        <v>682</v>
      </c>
      <c r="C54" s="789" t="s">
        <v>683</v>
      </c>
      <c r="D54" s="789" t="s">
        <v>682</v>
      </c>
      <c r="E54" s="789" t="s">
        <v>683</v>
      </c>
      <c r="F54" s="789" t="s">
        <v>682</v>
      </c>
      <c r="G54" s="789" t="s">
        <v>683</v>
      </c>
    </row>
    <row r="55" spans="1:7" ht="15">
      <c r="A55" s="370" t="s">
        <v>684</v>
      </c>
      <c r="B55" s="789"/>
      <c r="C55" s="789"/>
      <c r="D55" s="789"/>
      <c r="E55" s="789"/>
      <c r="F55" s="789"/>
      <c r="G55" s="789"/>
    </row>
    <row r="56" spans="1:7" ht="15">
      <c r="A56" s="371" t="s">
        <v>0</v>
      </c>
      <c r="B56" s="373">
        <f>B57+B95+B97+B106+B110+B117</f>
        <v>450358267.09</v>
      </c>
      <c r="C56" s="372"/>
      <c r="D56" s="373">
        <v>2091095817.5100002</v>
      </c>
      <c r="E56" s="373">
        <v>4097178661.82</v>
      </c>
      <c r="F56" s="373">
        <v>10114608.11</v>
      </c>
      <c r="G56" s="372"/>
    </row>
    <row r="57" spans="1:7" ht="15">
      <c r="A57" s="374">
        <v>1210</v>
      </c>
      <c r="B57" s="375">
        <f>SUM(B58:B94)</f>
        <v>387188818.88</v>
      </c>
      <c r="C57" s="376"/>
      <c r="D57" s="375">
        <v>1929798489.1</v>
      </c>
      <c r="E57" s="375">
        <v>3880886321.64</v>
      </c>
      <c r="F57" s="375">
        <v>1940171.67</v>
      </c>
      <c r="G57" s="376"/>
    </row>
    <row r="58" spans="1:7" ht="15">
      <c r="A58" s="377" t="s">
        <v>716</v>
      </c>
      <c r="B58" s="378">
        <v>35630</v>
      </c>
      <c r="C58" s="379"/>
      <c r="D58" s="378">
        <v>215085.5</v>
      </c>
      <c r="E58" s="378">
        <v>194351.5</v>
      </c>
      <c r="F58" s="378">
        <v>56364</v>
      </c>
      <c r="G58" s="379"/>
    </row>
    <row r="59" spans="1:7" ht="15">
      <c r="A59" s="377" t="s">
        <v>717</v>
      </c>
      <c r="B59" s="378">
        <v>113651.76</v>
      </c>
      <c r="C59" s="379"/>
      <c r="D59" s="378">
        <v>225515.7</v>
      </c>
      <c r="E59" s="379"/>
      <c r="F59" s="378">
        <v>339167.46</v>
      </c>
      <c r="G59" s="379"/>
    </row>
    <row r="60" spans="1:7" ht="15">
      <c r="A60" s="377" t="s">
        <v>718</v>
      </c>
      <c r="B60" s="378">
        <v>12771742.03</v>
      </c>
      <c r="C60" s="379"/>
      <c r="D60" s="378">
        <v>115779483.2</v>
      </c>
      <c r="E60" s="378">
        <v>127998163.67</v>
      </c>
      <c r="F60" s="378">
        <v>553061.56</v>
      </c>
      <c r="G60" s="379"/>
    </row>
    <row r="61" spans="1:7" ht="15">
      <c r="A61" s="377" t="s">
        <v>719</v>
      </c>
      <c r="B61" s="380">
        <v>0.2</v>
      </c>
      <c r="C61" s="379"/>
      <c r="D61" s="379"/>
      <c r="E61" s="380">
        <v>0.2</v>
      </c>
      <c r="F61" s="379"/>
      <c r="G61" s="379"/>
    </row>
    <row r="62" spans="1:7" ht="15">
      <c r="A62" s="377" t="s">
        <v>720</v>
      </c>
      <c r="B62" s="380">
        <v>28</v>
      </c>
      <c r="C62" s="379"/>
      <c r="D62" s="379"/>
      <c r="E62" s="380">
        <v>28</v>
      </c>
      <c r="F62" s="379"/>
      <c r="G62" s="379"/>
    </row>
    <row r="63" spans="1:7" ht="15">
      <c r="A63" s="377" t="s">
        <v>721</v>
      </c>
      <c r="B63" s="378">
        <v>2366.56</v>
      </c>
      <c r="C63" s="379"/>
      <c r="D63" s="378">
        <v>9000</v>
      </c>
      <c r="E63" s="378">
        <v>11366.56</v>
      </c>
      <c r="F63" s="379"/>
      <c r="G63" s="379"/>
    </row>
    <row r="64" spans="1:7" ht="15">
      <c r="A64" s="377" t="s">
        <v>722</v>
      </c>
      <c r="B64" s="378">
        <v>4770</v>
      </c>
      <c r="C64" s="379"/>
      <c r="D64" s="379"/>
      <c r="E64" s="378">
        <v>4770</v>
      </c>
      <c r="F64" s="379"/>
      <c r="G64" s="379"/>
    </row>
    <row r="65" spans="1:7" ht="15">
      <c r="A65" s="377" t="s">
        <v>723</v>
      </c>
      <c r="B65" s="378">
        <v>438096.81</v>
      </c>
      <c r="C65" s="379"/>
      <c r="D65" s="379"/>
      <c r="E65" s="378">
        <v>438096.81</v>
      </c>
      <c r="F65" s="379"/>
      <c r="G65" s="379"/>
    </row>
    <row r="66" spans="1:7" ht="15">
      <c r="A66" s="377" t="s">
        <v>724</v>
      </c>
      <c r="B66" s="378">
        <v>9540</v>
      </c>
      <c r="C66" s="379"/>
      <c r="D66" s="379"/>
      <c r="E66" s="378">
        <v>9540</v>
      </c>
      <c r="F66" s="379"/>
      <c r="G66" s="379"/>
    </row>
    <row r="67" spans="1:7" ht="15">
      <c r="A67" s="377" t="s">
        <v>725</v>
      </c>
      <c r="B67" s="378">
        <v>38667</v>
      </c>
      <c r="C67" s="379"/>
      <c r="D67" s="379"/>
      <c r="E67" s="378">
        <v>38667</v>
      </c>
      <c r="F67" s="379"/>
      <c r="G67" s="379"/>
    </row>
    <row r="68" spans="1:7" ht="15">
      <c r="A68" s="377" t="s">
        <v>726</v>
      </c>
      <c r="B68" s="380">
        <v>275</v>
      </c>
      <c r="C68" s="379"/>
      <c r="D68" s="378">
        <v>4682.42</v>
      </c>
      <c r="E68" s="378">
        <v>4957.42</v>
      </c>
      <c r="F68" s="379"/>
      <c r="G68" s="379"/>
    </row>
    <row r="69" spans="1:7" ht="15">
      <c r="A69" s="377" t="s">
        <v>727</v>
      </c>
      <c r="B69" s="378">
        <v>1064285</v>
      </c>
      <c r="C69" s="379"/>
      <c r="D69" s="378">
        <v>796065</v>
      </c>
      <c r="E69" s="378">
        <v>1860350</v>
      </c>
      <c r="F69" s="379"/>
      <c r="G69" s="379"/>
    </row>
    <row r="70" spans="1:7" ht="15">
      <c r="A70" s="377" t="s">
        <v>728</v>
      </c>
      <c r="B70" s="380">
        <v>474.96</v>
      </c>
      <c r="C70" s="379"/>
      <c r="D70" s="379"/>
      <c r="E70" s="380">
        <v>474.96</v>
      </c>
      <c r="F70" s="379"/>
      <c r="G70" s="379"/>
    </row>
    <row r="71" spans="1:7" ht="15">
      <c r="A71" s="377" t="s">
        <v>729</v>
      </c>
      <c r="B71" s="380">
        <v>0.04</v>
      </c>
      <c r="C71" s="379"/>
      <c r="D71" s="378">
        <v>6749</v>
      </c>
      <c r="E71" s="378">
        <v>6749</v>
      </c>
      <c r="F71" s="380">
        <v>0.04</v>
      </c>
      <c r="G71" s="379"/>
    </row>
    <row r="72" spans="1:7" ht="15">
      <c r="A72" s="377" t="s">
        <v>730</v>
      </c>
      <c r="B72" s="380">
        <v>0.09</v>
      </c>
      <c r="C72" s="379"/>
      <c r="D72" s="379"/>
      <c r="E72" s="379"/>
      <c r="F72" s="380">
        <v>0.09</v>
      </c>
      <c r="G72" s="379"/>
    </row>
    <row r="73" spans="1:7" ht="15">
      <c r="A73" s="377" t="s">
        <v>731</v>
      </c>
      <c r="B73" s="378">
        <v>5745.6</v>
      </c>
      <c r="C73" s="379"/>
      <c r="D73" s="379"/>
      <c r="E73" s="378">
        <v>5745.6</v>
      </c>
      <c r="F73" s="379"/>
      <c r="G73" s="379"/>
    </row>
    <row r="74" spans="1:7" ht="15">
      <c r="A74" s="377" t="s">
        <v>732</v>
      </c>
      <c r="B74" s="378">
        <v>19490</v>
      </c>
      <c r="C74" s="379"/>
      <c r="D74" s="379"/>
      <c r="E74" s="378">
        <v>19490</v>
      </c>
      <c r="F74" s="379"/>
      <c r="G74" s="379"/>
    </row>
    <row r="75" spans="1:7" ht="15">
      <c r="A75" s="377" t="s">
        <v>733</v>
      </c>
      <c r="B75" s="380">
        <v>0.05</v>
      </c>
      <c r="C75" s="379"/>
      <c r="D75" s="379"/>
      <c r="E75" s="379"/>
      <c r="F75" s="380">
        <v>0.05</v>
      </c>
      <c r="G75" s="379"/>
    </row>
    <row r="76" spans="1:7" ht="15">
      <c r="A76" s="377" t="s">
        <v>734</v>
      </c>
      <c r="B76" s="378">
        <v>149617.64</v>
      </c>
      <c r="C76" s="379"/>
      <c r="D76" s="378">
        <v>879752.7</v>
      </c>
      <c r="E76" s="378">
        <v>383018.05</v>
      </c>
      <c r="F76" s="378">
        <v>646352.29</v>
      </c>
      <c r="G76" s="379"/>
    </row>
    <row r="77" spans="1:7" ht="15">
      <c r="A77" s="377" t="s">
        <v>735</v>
      </c>
      <c r="B77" s="378">
        <v>113650.27</v>
      </c>
      <c r="C77" s="379"/>
      <c r="D77" s="378">
        <v>225515.7</v>
      </c>
      <c r="E77" s="379"/>
      <c r="F77" s="378">
        <v>339165.97</v>
      </c>
      <c r="G77" s="379"/>
    </row>
    <row r="78" spans="1:7" ht="15">
      <c r="A78" s="377" t="s">
        <v>736</v>
      </c>
      <c r="B78" s="378">
        <v>2331.82</v>
      </c>
      <c r="C78" s="379"/>
      <c r="D78" s="378">
        <v>3320</v>
      </c>
      <c r="E78" s="378">
        <v>5651.82</v>
      </c>
      <c r="F78" s="379"/>
      <c r="G78" s="379"/>
    </row>
    <row r="79" spans="1:7" ht="15">
      <c r="A79" s="377" t="s">
        <v>737</v>
      </c>
      <c r="B79" s="378">
        <v>12130</v>
      </c>
      <c r="C79" s="379"/>
      <c r="D79" s="378">
        <v>3930</v>
      </c>
      <c r="E79" s="378">
        <v>10000</v>
      </c>
      <c r="F79" s="378">
        <v>6060</v>
      </c>
      <c r="G79" s="379"/>
    </row>
    <row r="80" spans="1:7" ht="15">
      <c r="A80" s="377" t="s">
        <v>738</v>
      </c>
      <c r="B80" s="380">
        <v>275</v>
      </c>
      <c r="C80" s="379"/>
      <c r="D80" s="379"/>
      <c r="E80" s="380">
        <v>275</v>
      </c>
      <c r="F80" s="379"/>
      <c r="G80" s="379"/>
    </row>
    <row r="81" spans="1:7" ht="15">
      <c r="A81" s="377" t="s">
        <v>739</v>
      </c>
      <c r="B81" s="380">
        <v>0.22</v>
      </c>
      <c r="C81" s="379"/>
      <c r="D81" s="378">
        <v>17000</v>
      </c>
      <c r="E81" s="378">
        <v>17000</v>
      </c>
      <c r="F81" s="380">
        <v>0.22</v>
      </c>
      <c r="G81" s="379"/>
    </row>
    <row r="82" spans="1:7" ht="22.5">
      <c r="A82" s="377" t="s">
        <v>709</v>
      </c>
      <c r="B82" s="378">
        <v>370985970.87</v>
      </c>
      <c r="C82" s="379"/>
      <c r="D82" s="378">
        <v>1121310445.55</v>
      </c>
      <c r="E82" s="378">
        <v>2294211652.5699997</v>
      </c>
      <c r="F82" s="379"/>
      <c r="G82" s="379"/>
    </row>
    <row r="83" spans="1:7" ht="15">
      <c r="A83" s="377" t="s">
        <v>740</v>
      </c>
      <c r="B83" s="378">
        <v>3300</v>
      </c>
      <c r="C83" s="379"/>
      <c r="D83" s="378">
        <v>5790</v>
      </c>
      <c r="E83" s="378">
        <v>9090</v>
      </c>
      <c r="F83" s="379"/>
      <c r="G83" s="379"/>
    </row>
    <row r="84" spans="1:7" ht="15">
      <c r="A84" s="377" t="s">
        <v>741</v>
      </c>
      <c r="B84" s="380">
        <v>491.49</v>
      </c>
      <c r="C84" s="379"/>
      <c r="D84" s="378">
        <v>2166.53</v>
      </c>
      <c r="E84" s="378">
        <v>2658.03</v>
      </c>
      <c r="F84" s="380">
        <v>-0.01</v>
      </c>
      <c r="G84" s="379"/>
    </row>
    <row r="85" spans="1:7" ht="15">
      <c r="A85" s="377" t="s">
        <v>742</v>
      </c>
      <c r="B85" s="378">
        <v>40950</v>
      </c>
      <c r="C85" s="379"/>
      <c r="D85" s="379"/>
      <c r="E85" s="378">
        <v>40950</v>
      </c>
      <c r="F85" s="379"/>
      <c r="G85" s="379"/>
    </row>
    <row r="86" spans="1:7" ht="15">
      <c r="A86" s="377" t="s">
        <v>743</v>
      </c>
      <c r="B86" s="378">
        <v>5080</v>
      </c>
      <c r="C86" s="379"/>
      <c r="D86" s="379"/>
      <c r="E86" s="378">
        <v>5080</v>
      </c>
      <c r="F86" s="379"/>
      <c r="G86" s="379"/>
    </row>
    <row r="87" spans="1:7" ht="15">
      <c r="A87" s="377" t="s">
        <v>744</v>
      </c>
      <c r="B87" s="378">
        <v>4120</v>
      </c>
      <c r="C87" s="379"/>
      <c r="D87" s="378">
        <v>44170150</v>
      </c>
      <c r="E87" s="378">
        <v>44174270</v>
      </c>
      <c r="F87" s="379"/>
      <c r="G87" s="379"/>
    </row>
    <row r="88" spans="1:7" ht="15">
      <c r="A88" s="377" t="s">
        <v>745</v>
      </c>
      <c r="B88" s="380">
        <v>271.94</v>
      </c>
      <c r="C88" s="379"/>
      <c r="D88" s="379"/>
      <c r="E88" s="380">
        <v>271.94</v>
      </c>
      <c r="F88" s="379"/>
      <c r="G88" s="379"/>
    </row>
    <row r="89" spans="1:7" ht="15">
      <c r="A89" s="377" t="s">
        <v>746</v>
      </c>
      <c r="B89" s="380">
        <v>55</v>
      </c>
      <c r="C89" s="379"/>
      <c r="D89" s="379"/>
      <c r="E89" s="380">
        <v>55</v>
      </c>
      <c r="F89" s="379"/>
      <c r="G89" s="379"/>
    </row>
    <row r="90" spans="1:7" ht="15">
      <c r="A90" s="377" t="s">
        <v>747</v>
      </c>
      <c r="B90" s="380">
        <v>840</v>
      </c>
      <c r="C90" s="379"/>
      <c r="D90" s="379"/>
      <c r="E90" s="380">
        <v>840</v>
      </c>
      <c r="F90" s="379"/>
      <c r="G90" s="379"/>
    </row>
    <row r="91" spans="1:7" ht="15">
      <c r="A91" s="377" t="s">
        <v>748</v>
      </c>
      <c r="B91" s="380">
        <v>150</v>
      </c>
      <c r="C91" s="379"/>
      <c r="D91" s="379"/>
      <c r="E91" s="380">
        <v>150</v>
      </c>
      <c r="F91" s="379"/>
      <c r="G91" s="379"/>
    </row>
    <row r="92" spans="1:7" ht="15">
      <c r="A92" s="377" t="s">
        <v>749</v>
      </c>
      <c r="B92" s="380">
        <v>653</v>
      </c>
      <c r="C92" s="379"/>
      <c r="D92" s="378">
        <v>2028</v>
      </c>
      <c r="E92" s="378">
        <v>2681</v>
      </c>
      <c r="F92" s="379"/>
      <c r="G92" s="379"/>
    </row>
    <row r="93" spans="1:7" ht="15">
      <c r="A93" s="377" t="s">
        <v>750</v>
      </c>
      <c r="B93" s="378">
        <v>1660</v>
      </c>
      <c r="C93" s="379"/>
      <c r="D93" s="379"/>
      <c r="E93" s="378">
        <v>1660</v>
      </c>
      <c r="F93" s="379"/>
      <c r="G93" s="379"/>
    </row>
    <row r="94" spans="1:7" ht="15">
      <c r="A94" s="377" t="s">
        <v>751</v>
      </c>
      <c r="B94" s="378">
        <v>1362508.53</v>
      </c>
      <c r="C94" s="379"/>
      <c r="D94" s="378">
        <v>148418.08</v>
      </c>
      <c r="E94" s="378">
        <v>1510926.61</v>
      </c>
      <c r="F94" s="379"/>
      <c r="G94" s="379"/>
    </row>
    <row r="95" spans="1:7" ht="15">
      <c r="A95" s="374">
        <v>1220</v>
      </c>
      <c r="B95" s="375">
        <v>56232674.13</v>
      </c>
      <c r="C95" s="376"/>
      <c r="D95" s="375">
        <v>148046731.43</v>
      </c>
      <c r="E95" s="375">
        <v>204279405.56</v>
      </c>
      <c r="F95" s="376"/>
      <c r="G95" s="376"/>
    </row>
    <row r="96" spans="1:7" ht="15">
      <c r="A96" s="377" t="s">
        <v>692</v>
      </c>
      <c r="B96" s="378">
        <v>56232674.13</v>
      </c>
      <c r="C96" s="379"/>
      <c r="D96" s="378">
        <v>148046731.43</v>
      </c>
      <c r="E96" s="378">
        <v>204279405.56</v>
      </c>
      <c r="F96" s="379"/>
      <c r="G96" s="379"/>
    </row>
    <row r="97" spans="1:7" ht="15">
      <c r="A97" s="374">
        <v>1251</v>
      </c>
      <c r="B97" s="375">
        <v>1295582.15</v>
      </c>
      <c r="C97" s="376"/>
      <c r="D97" s="375">
        <v>9816814.8</v>
      </c>
      <c r="E97" s="375">
        <v>11001466.1</v>
      </c>
      <c r="F97" s="375">
        <v>110930.85</v>
      </c>
      <c r="G97" s="376"/>
    </row>
    <row r="98" spans="1:7" ht="15">
      <c r="A98" s="377" t="s">
        <v>752</v>
      </c>
      <c r="B98" s="378">
        <v>899999.2</v>
      </c>
      <c r="C98" s="379"/>
      <c r="D98" s="380">
        <v>0.8</v>
      </c>
      <c r="E98" s="378">
        <v>900000</v>
      </c>
      <c r="F98" s="379"/>
      <c r="G98" s="379"/>
    </row>
    <row r="99" spans="1:7" ht="15">
      <c r="A99" s="377" t="s">
        <v>753</v>
      </c>
      <c r="B99" s="380">
        <v>279.75</v>
      </c>
      <c r="C99" s="379"/>
      <c r="D99" s="378">
        <v>3541700</v>
      </c>
      <c r="E99" s="378">
        <v>3541979.75</v>
      </c>
      <c r="F99" s="379"/>
      <c r="G99" s="379"/>
    </row>
    <row r="100" spans="1:7" ht="15">
      <c r="A100" s="377" t="s">
        <v>754</v>
      </c>
      <c r="B100" s="378">
        <v>20240.01</v>
      </c>
      <c r="C100" s="379"/>
      <c r="D100" s="378">
        <v>1340000</v>
      </c>
      <c r="E100" s="378">
        <v>1312736.51</v>
      </c>
      <c r="F100" s="378">
        <v>47503.5</v>
      </c>
      <c r="G100" s="379"/>
    </row>
    <row r="101" spans="1:7" ht="15">
      <c r="A101" s="377" t="s">
        <v>755</v>
      </c>
      <c r="B101" s="380">
        <v>0.14</v>
      </c>
      <c r="C101" s="379"/>
      <c r="D101" s="378">
        <v>450927</v>
      </c>
      <c r="E101" s="378">
        <v>450927.14</v>
      </c>
      <c r="F101" s="379"/>
      <c r="G101" s="379"/>
    </row>
    <row r="102" spans="1:7" ht="15">
      <c r="A102" s="377" t="s">
        <v>756</v>
      </c>
      <c r="B102" s="378">
        <v>49940</v>
      </c>
      <c r="C102" s="379"/>
      <c r="D102" s="378">
        <v>1351464</v>
      </c>
      <c r="E102" s="378">
        <v>1401404</v>
      </c>
      <c r="F102" s="379"/>
      <c r="G102" s="379"/>
    </row>
    <row r="103" spans="1:7" ht="15">
      <c r="A103" s="377" t="s">
        <v>757</v>
      </c>
      <c r="B103" s="378">
        <v>276773.05</v>
      </c>
      <c r="C103" s="379"/>
      <c r="D103" s="378">
        <v>2879180</v>
      </c>
      <c r="E103" s="378">
        <v>3092525.7</v>
      </c>
      <c r="F103" s="378">
        <v>63427.35</v>
      </c>
      <c r="G103" s="379"/>
    </row>
    <row r="104" spans="1:7" ht="15">
      <c r="A104" s="377" t="s">
        <v>758</v>
      </c>
      <c r="B104" s="378">
        <v>29052</v>
      </c>
      <c r="C104" s="379"/>
      <c r="D104" s="379"/>
      <c r="E104" s="378">
        <v>29052</v>
      </c>
      <c r="F104" s="379"/>
      <c r="G104" s="379"/>
    </row>
    <row r="105" spans="1:7" ht="15">
      <c r="A105" s="377" t="s">
        <v>696</v>
      </c>
      <c r="B105" s="378">
        <v>19298</v>
      </c>
      <c r="C105" s="379"/>
      <c r="D105" s="378">
        <v>253543</v>
      </c>
      <c r="E105" s="378">
        <v>272841</v>
      </c>
      <c r="F105" s="379"/>
      <c r="G105" s="379"/>
    </row>
    <row r="106" spans="1:7" ht="15">
      <c r="A106" s="374">
        <v>1254</v>
      </c>
      <c r="B106" s="375">
        <v>108000.33</v>
      </c>
      <c r="C106" s="376"/>
      <c r="D106" s="376"/>
      <c r="E106" s="376"/>
      <c r="F106" s="375">
        <v>108000.33</v>
      </c>
      <c r="G106" s="376"/>
    </row>
    <row r="107" spans="1:7" ht="15">
      <c r="A107" s="377" t="s">
        <v>759</v>
      </c>
      <c r="B107" s="380">
        <v>0.01</v>
      </c>
      <c r="C107" s="379"/>
      <c r="D107" s="379"/>
      <c r="E107" s="379"/>
      <c r="F107" s="380">
        <v>0.01</v>
      </c>
      <c r="G107" s="379"/>
    </row>
    <row r="108" spans="1:7" ht="15">
      <c r="A108" s="377" t="s">
        <v>760</v>
      </c>
      <c r="B108" s="378">
        <v>108000</v>
      </c>
      <c r="C108" s="379"/>
      <c r="D108" s="379"/>
      <c r="E108" s="379"/>
      <c r="F108" s="378">
        <v>108000</v>
      </c>
      <c r="G108" s="379"/>
    </row>
    <row r="109" spans="1:7" ht="15">
      <c r="A109" s="377" t="s">
        <v>761</v>
      </c>
      <c r="B109" s="380">
        <v>0.32</v>
      </c>
      <c r="C109" s="379"/>
      <c r="D109" s="379"/>
      <c r="E109" s="379"/>
      <c r="F109" s="380">
        <v>0.32</v>
      </c>
      <c r="G109" s="379"/>
    </row>
    <row r="110" spans="1:7" ht="15">
      <c r="A110" s="374">
        <v>1260</v>
      </c>
      <c r="B110" s="375">
        <v>851080</v>
      </c>
      <c r="C110" s="376"/>
      <c r="D110" s="375">
        <v>352857</v>
      </c>
      <c r="E110" s="375">
        <v>987080</v>
      </c>
      <c r="F110" s="375">
        <v>216857</v>
      </c>
      <c r="G110" s="376"/>
    </row>
    <row r="111" spans="1:7" ht="22.5">
      <c r="A111" s="377" t="s">
        <v>762</v>
      </c>
      <c r="B111" s="378">
        <v>20000</v>
      </c>
      <c r="C111" s="379"/>
      <c r="D111" s="378">
        <v>2857</v>
      </c>
      <c r="E111" s="379"/>
      <c r="F111" s="378">
        <v>22857</v>
      </c>
      <c r="G111" s="379"/>
    </row>
    <row r="112" spans="1:7" ht="15">
      <c r="A112" s="377" t="s">
        <v>717</v>
      </c>
      <c r="B112" s="378">
        <v>15000</v>
      </c>
      <c r="C112" s="379"/>
      <c r="D112" s="378">
        <v>36000</v>
      </c>
      <c r="E112" s="379"/>
      <c r="F112" s="378">
        <v>51000</v>
      </c>
      <c r="G112" s="379"/>
    </row>
    <row r="113" spans="1:7" ht="15">
      <c r="A113" s="377" t="s">
        <v>718</v>
      </c>
      <c r="B113" s="378">
        <v>680000</v>
      </c>
      <c r="C113" s="379"/>
      <c r="D113" s="378">
        <v>230000</v>
      </c>
      <c r="E113" s="378">
        <v>850000</v>
      </c>
      <c r="F113" s="378">
        <v>60000</v>
      </c>
      <c r="G113" s="379"/>
    </row>
    <row r="114" spans="1:7" ht="15">
      <c r="A114" s="377" t="s">
        <v>723</v>
      </c>
      <c r="B114" s="378">
        <v>109080</v>
      </c>
      <c r="C114" s="379"/>
      <c r="D114" s="379"/>
      <c r="E114" s="378">
        <v>109080</v>
      </c>
      <c r="F114" s="379"/>
      <c r="G114" s="379"/>
    </row>
    <row r="115" spans="1:7" ht="15">
      <c r="A115" s="377" t="s">
        <v>734</v>
      </c>
      <c r="B115" s="378">
        <v>12000</v>
      </c>
      <c r="C115" s="379"/>
      <c r="D115" s="378">
        <v>48000</v>
      </c>
      <c r="E115" s="378">
        <v>28000</v>
      </c>
      <c r="F115" s="378">
        <v>32000</v>
      </c>
      <c r="G115" s="379"/>
    </row>
    <row r="116" spans="1:7" ht="15">
      <c r="A116" s="377" t="s">
        <v>735</v>
      </c>
      <c r="B116" s="378">
        <v>15000</v>
      </c>
      <c r="C116" s="379"/>
      <c r="D116" s="378">
        <v>36000</v>
      </c>
      <c r="E116" s="379"/>
      <c r="F116" s="378">
        <v>51000</v>
      </c>
      <c r="G116" s="379"/>
    </row>
    <row r="117" spans="1:7" ht="15">
      <c r="A117" s="374">
        <v>1270</v>
      </c>
      <c r="B117" s="375">
        <v>4682111.6</v>
      </c>
      <c r="C117" s="376"/>
      <c r="D117" s="375">
        <v>3080925.18</v>
      </c>
      <c r="E117" s="375">
        <v>24388.52</v>
      </c>
      <c r="F117" s="375">
        <v>7738648.26</v>
      </c>
      <c r="G117" s="376"/>
    </row>
    <row r="118" spans="1:7" ht="15">
      <c r="A118" s="377" t="s">
        <v>717</v>
      </c>
      <c r="B118" s="378">
        <v>4657723.08</v>
      </c>
      <c r="C118" s="379"/>
      <c r="D118" s="378">
        <v>3080925.18</v>
      </c>
      <c r="E118" s="379"/>
      <c r="F118" s="378">
        <v>7738648.26</v>
      </c>
      <c r="G118" s="379"/>
    </row>
    <row r="119" spans="1:7" ht="15">
      <c r="A119" s="377" t="s">
        <v>692</v>
      </c>
      <c r="B119" s="378">
        <v>24388.52</v>
      </c>
      <c r="C119" s="379"/>
      <c r="D119" s="379"/>
      <c r="E119" s="378">
        <v>24388.52</v>
      </c>
      <c r="F119" s="379"/>
      <c r="G119" s="379"/>
    </row>
    <row r="120" spans="1:7" ht="15">
      <c r="A120" s="381" t="s">
        <v>329</v>
      </c>
      <c r="B120" s="383">
        <v>2016197452.42</v>
      </c>
      <c r="C120" s="382"/>
      <c r="D120" s="383">
        <v>2091095817.5100002</v>
      </c>
      <c r="E120" s="383">
        <v>4097178661.82</v>
      </c>
      <c r="F120" s="383">
        <v>10114608.11</v>
      </c>
      <c r="G120" s="382"/>
    </row>
    <row r="124" spans="1:4" ht="15">
      <c r="A124" s="378">
        <v>388585718.92</v>
      </c>
      <c r="B124" s="409"/>
      <c r="C124" s="409"/>
      <c r="D124" s="409"/>
    </row>
    <row r="125" spans="1:4" ht="15">
      <c r="A125" s="378">
        <v>54799861.1</v>
      </c>
      <c r="B125" s="409"/>
      <c r="C125" s="409"/>
      <c r="D125" s="409"/>
    </row>
    <row r="126" spans="1:4" ht="15">
      <c r="A126" s="378">
        <v>1246997.15</v>
      </c>
      <c r="B126" s="409"/>
      <c r="C126" s="409"/>
      <c r="D126" s="409"/>
    </row>
    <row r="127" spans="1:4" ht="15">
      <c r="A127" s="378">
        <v>103749.76</v>
      </c>
      <c r="B127" s="409"/>
      <c r="C127" s="409"/>
      <c r="D127" s="409"/>
    </row>
    <row r="128" spans="1:4" ht="15">
      <c r="A128" s="378">
        <v>851080</v>
      </c>
      <c r="B128" s="409"/>
      <c r="C128" s="409"/>
      <c r="D128" s="409"/>
    </row>
    <row r="129" spans="1:4" ht="15">
      <c r="A129" s="378">
        <v>4682111.6</v>
      </c>
      <c r="B129" s="409"/>
      <c r="C129" s="409"/>
      <c r="D129" s="409"/>
    </row>
    <row r="130" spans="2:4" ht="15">
      <c r="B130" s="409"/>
      <c r="C130" s="409"/>
      <c r="D130" s="409"/>
    </row>
    <row r="131" spans="1:37" ht="15">
      <c r="A131" s="370" t="s">
        <v>681</v>
      </c>
      <c r="B131" s="790" t="s">
        <v>776</v>
      </c>
      <c r="C131" s="790" t="s">
        <v>777</v>
      </c>
      <c r="D131" s="790" t="s">
        <v>778</v>
      </c>
      <c r="E131" s="791">
        <v>1010</v>
      </c>
      <c r="F131" s="791">
        <v>1030</v>
      </c>
      <c r="G131" s="791">
        <v>1210</v>
      </c>
      <c r="H131" s="791">
        <v>1220</v>
      </c>
      <c r="I131" s="791">
        <v>1251</v>
      </c>
      <c r="J131" s="791">
        <v>1260</v>
      </c>
      <c r="K131" s="791">
        <v>1420</v>
      </c>
      <c r="L131" s="791">
        <v>3120</v>
      </c>
      <c r="M131" s="791">
        <v>3310</v>
      </c>
      <c r="N131" s="791">
        <v>6250</v>
      </c>
      <c r="O131" s="791">
        <v>6280</v>
      </c>
      <c r="P131" s="790" t="s">
        <v>779</v>
      </c>
      <c r="Q131" s="791">
        <v>1010</v>
      </c>
      <c r="R131" s="791">
        <v>1030</v>
      </c>
      <c r="S131" s="791">
        <v>1210</v>
      </c>
      <c r="T131" s="791">
        <v>1220</v>
      </c>
      <c r="U131" s="791">
        <v>1254</v>
      </c>
      <c r="V131" s="791">
        <v>1310</v>
      </c>
      <c r="W131" s="791">
        <v>1315</v>
      </c>
      <c r="X131" s="791">
        <v>1330</v>
      </c>
      <c r="Y131" s="791">
        <v>1420</v>
      </c>
      <c r="Z131" s="791">
        <v>1620</v>
      </c>
      <c r="AA131" s="791">
        <v>2410</v>
      </c>
      <c r="AB131" s="791">
        <v>2730</v>
      </c>
      <c r="AC131" s="791">
        <v>2933</v>
      </c>
      <c r="AD131" s="791">
        <v>3310</v>
      </c>
      <c r="AE131" s="791">
        <v>3350</v>
      </c>
      <c r="AF131" s="791">
        <v>7110</v>
      </c>
      <c r="AG131" s="791">
        <v>7210</v>
      </c>
      <c r="AH131" s="791">
        <v>7211</v>
      </c>
      <c r="AI131" s="791">
        <v>8410</v>
      </c>
      <c r="AJ131" s="792" t="s">
        <v>780</v>
      </c>
      <c r="AK131" s="792" t="s">
        <v>781</v>
      </c>
    </row>
    <row r="132" spans="1:37" ht="15">
      <c r="A132" s="370" t="s">
        <v>684</v>
      </c>
      <c r="B132" s="790"/>
      <c r="C132" s="790"/>
      <c r="D132" s="790"/>
      <c r="E132" s="791"/>
      <c r="F132" s="791"/>
      <c r="G132" s="791"/>
      <c r="H132" s="791"/>
      <c r="I132" s="791"/>
      <c r="J132" s="791"/>
      <c r="K132" s="791"/>
      <c r="L132" s="791"/>
      <c r="M132" s="791"/>
      <c r="N132" s="791"/>
      <c r="O132" s="791"/>
      <c r="P132" s="790"/>
      <c r="Q132" s="791"/>
      <c r="R132" s="791"/>
      <c r="S132" s="791"/>
      <c r="T132" s="791"/>
      <c r="U132" s="791"/>
      <c r="V132" s="791"/>
      <c r="W132" s="791"/>
      <c r="X132" s="791"/>
      <c r="Y132" s="791"/>
      <c r="Z132" s="791"/>
      <c r="AA132" s="791"/>
      <c r="AB132" s="791"/>
      <c r="AC132" s="791"/>
      <c r="AD132" s="791"/>
      <c r="AE132" s="791"/>
      <c r="AF132" s="791"/>
      <c r="AG132" s="791"/>
      <c r="AH132" s="791"/>
      <c r="AI132" s="791"/>
      <c r="AJ132" s="792"/>
      <c r="AK132" s="792"/>
    </row>
    <row r="133" spans="1:37" ht="15">
      <c r="A133" s="373">
        <f aca="true" t="shared" si="0" ref="A133:Z133">SUM(A134:A137)</f>
        <v>0</v>
      </c>
      <c r="B133" s="373">
        <f t="shared" si="0"/>
        <v>0</v>
      </c>
      <c r="C133" s="373">
        <f t="shared" si="0"/>
        <v>0</v>
      </c>
      <c r="D133" s="373">
        <f t="shared" si="0"/>
        <v>99988235.2</v>
      </c>
      <c r="E133" s="373">
        <f t="shared" si="0"/>
        <v>0</v>
      </c>
      <c r="F133" s="373">
        <f t="shared" si="0"/>
        <v>85000000</v>
      </c>
      <c r="G133" s="373">
        <f t="shared" si="0"/>
        <v>10902517.76</v>
      </c>
      <c r="H133" s="373">
        <f t="shared" si="0"/>
        <v>4053695.44</v>
      </c>
      <c r="I133" s="373">
        <f t="shared" si="0"/>
        <v>32022</v>
      </c>
      <c r="J133" s="373">
        <f t="shared" si="0"/>
        <v>0</v>
      </c>
      <c r="K133" s="373">
        <f t="shared" si="0"/>
        <v>0</v>
      </c>
      <c r="L133" s="373">
        <f t="shared" si="0"/>
        <v>0</v>
      </c>
      <c r="M133" s="373">
        <f t="shared" si="0"/>
        <v>0</v>
      </c>
      <c r="N133" s="373">
        <f t="shared" si="0"/>
        <v>0</v>
      </c>
      <c r="O133" s="373">
        <f t="shared" si="0"/>
        <v>0</v>
      </c>
      <c r="P133" s="373">
        <f t="shared" si="0"/>
        <v>99988235.2</v>
      </c>
      <c r="Q133" s="373">
        <f t="shared" si="0"/>
        <v>0</v>
      </c>
      <c r="R133" s="373">
        <f t="shared" si="0"/>
        <v>0</v>
      </c>
      <c r="S133" s="373">
        <f t="shared" si="0"/>
        <v>86264365.76</v>
      </c>
      <c r="T133" s="373">
        <f t="shared" si="0"/>
        <v>0</v>
      </c>
      <c r="U133" s="373">
        <f t="shared" si="0"/>
        <v>0</v>
      </c>
      <c r="V133" s="373">
        <f t="shared" si="0"/>
        <v>9744174.18</v>
      </c>
      <c r="W133" s="373">
        <f t="shared" si="0"/>
        <v>1169994.8</v>
      </c>
      <c r="X133" s="373">
        <f t="shared" si="0"/>
        <v>0</v>
      </c>
      <c r="Y133" s="373">
        <f t="shared" si="0"/>
        <v>1373986.14</v>
      </c>
      <c r="Z133" s="373">
        <f t="shared" si="0"/>
        <v>0</v>
      </c>
      <c r="AA133" s="373">
        <f>SUM(AA134:AA137)</f>
        <v>900000</v>
      </c>
      <c r="AB133" s="373">
        <f aca="true" t="shared" si="1" ref="AB133:AK133">SUM(AB134:AB137)</f>
        <v>0</v>
      </c>
      <c r="AC133" s="373">
        <f t="shared" si="1"/>
        <v>0</v>
      </c>
      <c r="AD133" s="373">
        <f t="shared" si="1"/>
        <v>0</v>
      </c>
      <c r="AE133" s="373">
        <f t="shared" si="1"/>
        <v>0</v>
      </c>
      <c r="AF133" s="373">
        <f t="shared" si="1"/>
        <v>0</v>
      </c>
      <c r="AG133" s="373">
        <f t="shared" si="1"/>
        <v>535714.32</v>
      </c>
      <c r="AH133" s="373">
        <f t="shared" si="1"/>
        <v>0</v>
      </c>
      <c r="AI133" s="373">
        <f t="shared" si="1"/>
        <v>0</v>
      </c>
      <c r="AJ133" s="373">
        <f t="shared" si="1"/>
        <v>0</v>
      </c>
      <c r="AK133" s="373">
        <f t="shared" si="1"/>
        <v>0</v>
      </c>
    </row>
    <row r="134" spans="1:37" ht="15">
      <c r="A134" s="413" t="s">
        <v>692</v>
      </c>
      <c r="B134" s="379"/>
      <c r="C134" s="379"/>
      <c r="D134" s="378">
        <v>99102447.25</v>
      </c>
      <c r="E134" s="414"/>
      <c r="F134" s="378">
        <v>85000000</v>
      </c>
      <c r="G134" s="378">
        <v>10221902.52</v>
      </c>
      <c r="H134" s="378">
        <v>3859302.73</v>
      </c>
      <c r="I134" s="378">
        <v>21242</v>
      </c>
      <c r="J134" s="414"/>
      <c r="K134" s="414"/>
      <c r="L134" s="414"/>
      <c r="M134" s="414"/>
      <c r="N134" s="414"/>
      <c r="O134" s="414"/>
      <c r="P134" s="378">
        <v>99102447.25</v>
      </c>
      <c r="Q134" s="414"/>
      <c r="R134" s="414"/>
      <c r="S134" s="378">
        <v>86264365.76</v>
      </c>
      <c r="T134" s="414"/>
      <c r="U134" s="414"/>
      <c r="V134" s="378">
        <v>8919213.44</v>
      </c>
      <c r="W134" s="378">
        <v>1109167.59</v>
      </c>
      <c r="X134" s="414"/>
      <c r="Y134" s="378">
        <v>1373986.14</v>
      </c>
      <c r="Z134" s="414"/>
      <c r="AA134" s="378">
        <v>900000</v>
      </c>
      <c r="AB134" s="414"/>
      <c r="AC134" s="414"/>
      <c r="AD134" s="414"/>
      <c r="AE134" s="414"/>
      <c r="AF134" s="414"/>
      <c r="AG134" s="378">
        <v>535714.32</v>
      </c>
      <c r="AH134" s="414"/>
      <c r="AI134" s="414"/>
      <c r="AJ134" s="379"/>
      <c r="AK134" s="379"/>
    </row>
    <row r="135" spans="1:37" ht="15">
      <c r="A135" s="413" t="s">
        <v>697</v>
      </c>
      <c r="B135" s="379"/>
      <c r="C135" s="379"/>
      <c r="D135" s="378">
        <v>89003.06</v>
      </c>
      <c r="E135" s="414"/>
      <c r="F135" s="414"/>
      <c r="G135" s="378">
        <v>78001.23</v>
      </c>
      <c r="H135" s="378">
        <v>11001.83</v>
      </c>
      <c r="I135" s="414"/>
      <c r="J135" s="414"/>
      <c r="K135" s="414"/>
      <c r="L135" s="414"/>
      <c r="M135" s="414"/>
      <c r="N135" s="414"/>
      <c r="O135" s="414"/>
      <c r="P135" s="378">
        <v>89003.06</v>
      </c>
      <c r="Q135" s="414"/>
      <c r="R135" s="414"/>
      <c r="S135" s="414"/>
      <c r="T135" s="414"/>
      <c r="U135" s="414"/>
      <c r="V135" s="378">
        <v>59015.61</v>
      </c>
      <c r="W135" s="378">
        <v>29987.45</v>
      </c>
      <c r="X135" s="414"/>
      <c r="Y135" s="414"/>
      <c r="Z135" s="414"/>
      <c r="AA135" s="414"/>
      <c r="AB135" s="414"/>
      <c r="AC135" s="414"/>
      <c r="AD135" s="414"/>
      <c r="AE135" s="414"/>
      <c r="AF135" s="414"/>
      <c r="AG135" s="414"/>
      <c r="AH135" s="414"/>
      <c r="AI135" s="414"/>
      <c r="AJ135" s="379"/>
      <c r="AK135" s="379"/>
    </row>
    <row r="136" spans="1:37" ht="22.5">
      <c r="A136" s="413" t="s">
        <v>698</v>
      </c>
      <c r="B136" s="379"/>
      <c r="C136" s="379"/>
      <c r="D136" s="378">
        <v>693023.96</v>
      </c>
      <c r="E136" s="414"/>
      <c r="F136" s="414"/>
      <c r="G136" s="378">
        <v>498853.08</v>
      </c>
      <c r="H136" s="378">
        <v>183390.88</v>
      </c>
      <c r="I136" s="378">
        <v>10780</v>
      </c>
      <c r="J136" s="414"/>
      <c r="K136" s="414"/>
      <c r="L136" s="414"/>
      <c r="M136" s="414"/>
      <c r="N136" s="414"/>
      <c r="O136" s="414"/>
      <c r="P136" s="378">
        <v>693023.96</v>
      </c>
      <c r="Q136" s="414"/>
      <c r="R136" s="414"/>
      <c r="S136" s="414"/>
      <c r="T136" s="414"/>
      <c r="U136" s="414"/>
      <c r="V136" s="378">
        <v>676153.13</v>
      </c>
      <c r="W136" s="378">
        <v>16870.83</v>
      </c>
      <c r="X136" s="414"/>
      <c r="Y136" s="414"/>
      <c r="Z136" s="414"/>
      <c r="AA136" s="414"/>
      <c r="AB136" s="414"/>
      <c r="AC136" s="414"/>
      <c r="AD136" s="414"/>
      <c r="AE136" s="414"/>
      <c r="AF136" s="414"/>
      <c r="AG136" s="414"/>
      <c r="AH136" s="414"/>
      <c r="AI136" s="414"/>
      <c r="AJ136" s="379"/>
      <c r="AK136" s="379"/>
    </row>
    <row r="137" spans="1:37" ht="22.5">
      <c r="A137" s="413" t="s">
        <v>782</v>
      </c>
      <c r="B137" s="379"/>
      <c r="C137" s="379"/>
      <c r="D137" s="378">
        <v>103760.93</v>
      </c>
      <c r="E137" s="414"/>
      <c r="F137" s="414"/>
      <c r="G137" s="378">
        <v>103760.93</v>
      </c>
      <c r="H137" s="414"/>
      <c r="I137" s="414"/>
      <c r="J137" s="414"/>
      <c r="K137" s="414"/>
      <c r="L137" s="414"/>
      <c r="M137" s="414"/>
      <c r="N137" s="414"/>
      <c r="O137" s="414"/>
      <c r="P137" s="378">
        <v>103760.93</v>
      </c>
      <c r="Q137" s="414"/>
      <c r="R137" s="414"/>
      <c r="S137" s="414"/>
      <c r="T137" s="414"/>
      <c r="U137" s="414"/>
      <c r="V137" s="378">
        <v>89792</v>
      </c>
      <c r="W137" s="378">
        <v>13968.93</v>
      </c>
      <c r="X137" s="414"/>
      <c r="Y137" s="414"/>
      <c r="Z137" s="414"/>
      <c r="AA137" s="414"/>
      <c r="AB137" s="414"/>
      <c r="AC137" s="414"/>
      <c r="AD137" s="414"/>
      <c r="AE137" s="414"/>
      <c r="AF137" s="414"/>
      <c r="AG137" s="414"/>
      <c r="AH137" s="414"/>
      <c r="AI137" s="414"/>
      <c r="AJ137" s="379"/>
      <c r="AK137" s="379"/>
    </row>
    <row r="140" spans="1:37" ht="15">
      <c r="A140" s="370" t="s">
        <v>681</v>
      </c>
      <c r="B140" s="790" t="s">
        <v>776</v>
      </c>
      <c r="C140" s="790" t="s">
        <v>777</v>
      </c>
      <c r="D140" s="790" t="s">
        <v>778</v>
      </c>
      <c r="E140" s="791">
        <v>1210</v>
      </c>
      <c r="F140" s="791">
        <v>1220</v>
      </c>
      <c r="G140" s="791">
        <v>1260</v>
      </c>
      <c r="H140" s="791">
        <v>1270</v>
      </c>
      <c r="I140" s="791">
        <v>3130</v>
      </c>
      <c r="J140" s="791">
        <v>3310</v>
      </c>
      <c r="K140" s="791">
        <v>6010</v>
      </c>
      <c r="L140" s="791">
        <v>6210</v>
      </c>
      <c r="M140" s="791">
        <v>6250</v>
      </c>
      <c r="N140" s="791">
        <v>6260</v>
      </c>
      <c r="O140" s="791">
        <v>6280</v>
      </c>
      <c r="P140" s="790" t="s">
        <v>779</v>
      </c>
      <c r="Q140" s="791">
        <v>1010</v>
      </c>
      <c r="R140" s="791">
        <v>1030</v>
      </c>
      <c r="S140" s="791">
        <v>1210</v>
      </c>
      <c r="T140" s="791">
        <v>1220</v>
      </c>
      <c r="U140" s="791">
        <v>2010</v>
      </c>
      <c r="V140" s="791">
        <v>3310</v>
      </c>
      <c r="W140" s="791">
        <v>3350</v>
      </c>
      <c r="X140" s="791">
        <v>3360</v>
      </c>
      <c r="Y140" s="791">
        <v>7211</v>
      </c>
      <c r="Z140" s="792" t="s">
        <v>780</v>
      </c>
      <c r="AA140" s="792" t="s">
        <v>781</v>
      </c>
      <c r="AG140" s="10"/>
      <c r="AH140" s="10"/>
      <c r="AI140" s="10"/>
      <c r="AJ140" s="10"/>
      <c r="AK140" s="10"/>
    </row>
    <row r="141" spans="1:37" ht="15">
      <c r="A141" s="370" t="s">
        <v>684</v>
      </c>
      <c r="B141" s="790"/>
      <c r="C141" s="790"/>
      <c r="D141" s="790"/>
      <c r="E141" s="791"/>
      <c r="F141" s="791"/>
      <c r="G141" s="791"/>
      <c r="H141" s="791"/>
      <c r="I141" s="791"/>
      <c r="J141" s="791"/>
      <c r="K141" s="791"/>
      <c r="L141" s="791"/>
      <c r="M141" s="791"/>
      <c r="N141" s="791"/>
      <c r="O141" s="791"/>
      <c r="P141" s="790"/>
      <c r="Q141" s="791"/>
      <c r="R141" s="791"/>
      <c r="S141" s="791"/>
      <c r="T141" s="791"/>
      <c r="U141" s="791"/>
      <c r="V141" s="791"/>
      <c r="W141" s="791"/>
      <c r="X141" s="791"/>
      <c r="Y141" s="791"/>
      <c r="Z141" s="792"/>
      <c r="AA141" s="792"/>
      <c r="AG141" s="10"/>
      <c r="AH141" s="10"/>
      <c r="AI141" s="10"/>
      <c r="AJ141" s="10"/>
      <c r="AK141" s="10"/>
    </row>
    <row r="142" spans="1:37" ht="15">
      <c r="A142" s="412">
        <v>1210</v>
      </c>
      <c r="B142" s="373">
        <f aca="true" t="shared" si="2" ref="B142:Y142">SUM(B143:B156)</f>
        <v>372323528.76</v>
      </c>
      <c r="C142" s="373">
        <f t="shared" si="2"/>
        <v>0</v>
      </c>
      <c r="D142" s="373">
        <f t="shared" si="2"/>
        <v>9802998683.060003</v>
      </c>
      <c r="E142" s="373">
        <f t="shared" si="2"/>
        <v>3869140450.9900002</v>
      </c>
      <c r="F142" s="373">
        <f t="shared" si="2"/>
        <v>25235927.32</v>
      </c>
      <c r="G142" s="373">
        <f t="shared" si="2"/>
        <v>850000</v>
      </c>
      <c r="H142" s="373">
        <f t="shared" si="2"/>
        <v>24388.52</v>
      </c>
      <c r="I142" s="373">
        <f t="shared" si="2"/>
        <v>622151486.7899997</v>
      </c>
      <c r="J142" s="373">
        <f t="shared" si="2"/>
        <v>101001130.64</v>
      </c>
      <c r="K142" s="373">
        <f t="shared" si="2"/>
        <v>5154952441.68</v>
      </c>
      <c r="L142" s="373">
        <f t="shared" si="2"/>
        <v>0</v>
      </c>
      <c r="M142" s="373">
        <f t="shared" si="2"/>
        <v>0</v>
      </c>
      <c r="N142" s="373">
        <f t="shared" si="2"/>
        <v>29642857.12</v>
      </c>
      <c r="O142" s="373">
        <f t="shared" si="2"/>
        <v>0</v>
      </c>
      <c r="P142" s="373">
        <f t="shared" si="2"/>
        <v>9906718837.640001</v>
      </c>
      <c r="Q142" s="373">
        <f t="shared" si="2"/>
        <v>46029584.46</v>
      </c>
      <c r="R142" s="373">
        <f t="shared" si="2"/>
        <v>5472200000</v>
      </c>
      <c r="S142" s="373">
        <f t="shared" si="2"/>
        <v>3739558842.5299997</v>
      </c>
      <c r="T142" s="373">
        <f t="shared" si="2"/>
        <v>124586509.85000001</v>
      </c>
      <c r="U142" s="373">
        <f t="shared" si="2"/>
        <v>329634009</v>
      </c>
      <c r="V142" s="373">
        <f t="shared" si="2"/>
        <v>169209891.8</v>
      </c>
      <c r="W142" s="373">
        <f t="shared" si="2"/>
        <v>0</v>
      </c>
      <c r="X142" s="373">
        <f t="shared" si="2"/>
        <v>25500000</v>
      </c>
      <c r="Y142" s="373">
        <f t="shared" si="2"/>
        <v>0</v>
      </c>
      <c r="Z142" s="373">
        <f>SUM(Z143:Z156)</f>
        <v>268603374.18</v>
      </c>
      <c r="AA142" s="372"/>
      <c r="AG142" s="10"/>
      <c r="AH142" s="10"/>
      <c r="AI142" s="10"/>
      <c r="AJ142" s="10"/>
      <c r="AK142" s="10"/>
    </row>
    <row r="143" spans="1:37" ht="15">
      <c r="A143" s="413" t="s">
        <v>692</v>
      </c>
      <c r="B143" s="415">
        <v>-1564406372.3</v>
      </c>
      <c r="C143" s="379"/>
      <c r="D143" s="378">
        <v>7997861920.61</v>
      </c>
      <c r="E143" s="378">
        <v>3869140450.9900002</v>
      </c>
      <c r="F143" s="378">
        <v>25235927.32</v>
      </c>
      <c r="G143" s="378">
        <v>850000</v>
      </c>
      <c r="H143" s="378">
        <v>24388.52</v>
      </c>
      <c r="I143" s="378">
        <v>428743931.02</v>
      </c>
      <c r="J143" s="378">
        <v>101001130.64</v>
      </c>
      <c r="K143" s="378">
        <v>3543223235</v>
      </c>
      <c r="L143" s="414"/>
      <c r="M143" s="414"/>
      <c r="N143" s="378">
        <v>29642857.12</v>
      </c>
      <c r="O143" s="414"/>
      <c r="P143" s="378">
        <v>6164852174.13</v>
      </c>
      <c r="Q143" s="378">
        <v>46029584.46</v>
      </c>
      <c r="R143" s="378">
        <v>5472200000</v>
      </c>
      <c r="S143" s="414"/>
      <c r="T143" s="378">
        <v>122959304.11</v>
      </c>
      <c r="U143" s="378">
        <v>329634009</v>
      </c>
      <c r="V143" s="378">
        <v>168529276.56</v>
      </c>
      <c r="W143" s="414"/>
      <c r="X143" s="378">
        <v>25500000</v>
      </c>
      <c r="Y143" s="414"/>
      <c r="Z143" s="378">
        <v>268603374.18</v>
      </c>
      <c r="AA143" s="379"/>
      <c r="AG143" s="10"/>
      <c r="AH143" s="10"/>
      <c r="AI143" s="10"/>
      <c r="AJ143" s="10"/>
      <c r="AK143" s="10"/>
    </row>
    <row r="144" spans="1:37" ht="22.5">
      <c r="A144" s="413" t="s">
        <v>709</v>
      </c>
      <c r="B144" s="378">
        <v>1172901207.02</v>
      </c>
      <c r="C144" s="379"/>
      <c r="D144" s="378">
        <v>1121310445.55</v>
      </c>
      <c r="E144" s="414"/>
      <c r="F144" s="414"/>
      <c r="G144" s="414"/>
      <c r="H144" s="414"/>
      <c r="I144" s="378">
        <v>120140408.28</v>
      </c>
      <c r="J144" s="414"/>
      <c r="K144" s="378">
        <v>1001170037.27</v>
      </c>
      <c r="L144" s="414"/>
      <c r="M144" s="414"/>
      <c r="N144" s="414"/>
      <c r="O144" s="414"/>
      <c r="P144" s="378">
        <v>2294211652.5699997</v>
      </c>
      <c r="Q144" s="414"/>
      <c r="R144" s="414"/>
      <c r="S144" s="378">
        <v>2294211652.5699997</v>
      </c>
      <c r="T144" s="414"/>
      <c r="U144" s="414"/>
      <c r="V144" s="414"/>
      <c r="W144" s="414"/>
      <c r="X144" s="414"/>
      <c r="Y144" s="414"/>
      <c r="Z144" s="379"/>
      <c r="AA144" s="379"/>
      <c r="AG144" s="10"/>
      <c r="AH144" s="10"/>
      <c r="AI144" s="10"/>
      <c r="AJ144" s="10"/>
      <c r="AK144" s="10"/>
    </row>
    <row r="145" spans="1:37" ht="15">
      <c r="A145" s="413" t="s">
        <v>710</v>
      </c>
      <c r="B145" s="378">
        <v>6682082.55</v>
      </c>
      <c r="C145" s="379"/>
      <c r="D145" s="378">
        <v>740339.29</v>
      </c>
      <c r="E145" s="414"/>
      <c r="F145" s="414"/>
      <c r="G145" s="414"/>
      <c r="H145" s="414"/>
      <c r="I145" s="378">
        <v>79321.67</v>
      </c>
      <c r="J145" s="414"/>
      <c r="K145" s="378">
        <v>661017.62</v>
      </c>
      <c r="L145" s="414"/>
      <c r="M145" s="414"/>
      <c r="N145" s="414"/>
      <c r="O145" s="414"/>
      <c r="P145" s="378">
        <v>7422421.84</v>
      </c>
      <c r="Q145" s="414"/>
      <c r="R145" s="414"/>
      <c r="S145" s="378">
        <v>7422421.84</v>
      </c>
      <c r="T145" s="414"/>
      <c r="U145" s="414"/>
      <c r="V145" s="414"/>
      <c r="W145" s="414"/>
      <c r="X145" s="414"/>
      <c r="Y145" s="414"/>
      <c r="Z145" s="379"/>
      <c r="AA145" s="379"/>
      <c r="AG145" s="10"/>
      <c r="AH145" s="10"/>
      <c r="AI145" s="10"/>
      <c r="AJ145" s="10"/>
      <c r="AK145" s="10"/>
    </row>
    <row r="146" spans="1:37" ht="15">
      <c r="A146" s="413" t="s">
        <v>697</v>
      </c>
      <c r="B146" s="378">
        <v>123958094.54</v>
      </c>
      <c r="C146" s="379"/>
      <c r="D146" s="378">
        <v>121344448.29</v>
      </c>
      <c r="E146" s="414"/>
      <c r="F146" s="414"/>
      <c r="G146" s="414"/>
      <c r="H146" s="414"/>
      <c r="I146" s="378">
        <v>13001201.14</v>
      </c>
      <c r="J146" s="414"/>
      <c r="K146" s="378">
        <v>108343247.15</v>
      </c>
      <c r="L146" s="414"/>
      <c r="M146" s="414"/>
      <c r="N146" s="414"/>
      <c r="O146" s="414"/>
      <c r="P146" s="378">
        <v>245302542.83</v>
      </c>
      <c r="Q146" s="414"/>
      <c r="R146" s="414"/>
      <c r="S146" s="378">
        <v>244953421.31</v>
      </c>
      <c r="T146" s="378">
        <v>271120.29</v>
      </c>
      <c r="U146" s="414"/>
      <c r="V146" s="378">
        <v>78001.23</v>
      </c>
      <c r="W146" s="414"/>
      <c r="X146" s="414"/>
      <c r="Y146" s="414"/>
      <c r="Z146" s="379"/>
      <c r="AA146" s="379"/>
      <c r="AG146" s="10"/>
      <c r="AH146" s="10"/>
      <c r="AI146" s="10"/>
      <c r="AJ146" s="10"/>
      <c r="AK146" s="10"/>
    </row>
    <row r="147" spans="1:37" ht="22.5">
      <c r="A147" s="413" t="s">
        <v>783</v>
      </c>
      <c r="B147" s="379"/>
      <c r="C147" s="379"/>
      <c r="D147" s="378">
        <v>3564425.66</v>
      </c>
      <c r="E147" s="414"/>
      <c r="F147" s="414"/>
      <c r="G147" s="414"/>
      <c r="H147" s="414"/>
      <c r="I147" s="378">
        <v>381903.06</v>
      </c>
      <c r="J147" s="414"/>
      <c r="K147" s="378">
        <v>3182522.6</v>
      </c>
      <c r="L147" s="414"/>
      <c r="M147" s="414"/>
      <c r="N147" s="414"/>
      <c r="O147" s="414"/>
      <c r="P147" s="378">
        <v>3564425.66</v>
      </c>
      <c r="Q147" s="414"/>
      <c r="R147" s="414"/>
      <c r="S147" s="378">
        <v>3564425.66</v>
      </c>
      <c r="T147" s="414"/>
      <c r="U147" s="414"/>
      <c r="V147" s="414"/>
      <c r="W147" s="414"/>
      <c r="X147" s="414"/>
      <c r="Y147" s="414"/>
      <c r="Z147" s="379"/>
      <c r="AA147" s="379"/>
      <c r="AG147" s="10"/>
      <c r="AH147" s="10"/>
      <c r="AI147" s="10"/>
      <c r="AJ147" s="10"/>
      <c r="AK147" s="10"/>
    </row>
    <row r="148" spans="1:37" ht="22.5">
      <c r="A148" s="413" t="s">
        <v>784</v>
      </c>
      <c r="B148" s="379"/>
      <c r="C148" s="379"/>
      <c r="D148" s="378">
        <v>6178454.05</v>
      </c>
      <c r="E148" s="414"/>
      <c r="F148" s="414"/>
      <c r="G148" s="414"/>
      <c r="H148" s="414"/>
      <c r="I148" s="378">
        <v>661979.27</v>
      </c>
      <c r="J148" s="414"/>
      <c r="K148" s="378">
        <v>5516474.78</v>
      </c>
      <c r="L148" s="414"/>
      <c r="M148" s="414"/>
      <c r="N148" s="414"/>
      <c r="O148" s="414"/>
      <c r="P148" s="378">
        <v>6178454.05</v>
      </c>
      <c r="Q148" s="414"/>
      <c r="R148" s="414"/>
      <c r="S148" s="378">
        <v>6178454.05</v>
      </c>
      <c r="T148" s="414"/>
      <c r="U148" s="414"/>
      <c r="V148" s="414"/>
      <c r="W148" s="414"/>
      <c r="X148" s="414"/>
      <c r="Y148" s="414"/>
      <c r="Z148" s="379"/>
      <c r="AA148" s="379"/>
      <c r="AG148" s="10"/>
      <c r="AH148" s="10"/>
      <c r="AI148" s="10"/>
      <c r="AJ148" s="10"/>
      <c r="AK148" s="10"/>
    </row>
    <row r="149" spans="1:37" ht="15">
      <c r="A149" s="413" t="s">
        <v>711</v>
      </c>
      <c r="B149" s="378">
        <v>17597288.98</v>
      </c>
      <c r="C149" s="379"/>
      <c r="D149" s="378">
        <v>24543787.18</v>
      </c>
      <c r="E149" s="414"/>
      <c r="F149" s="414"/>
      <c r="G149" s="414"/>
      <c r="H149" s="414"/>
      <c r="I149" s="378">
        <v>2629695.3</v>
      </c>
      <c r="J149" s="414"/>
      <c r="K149" s="378">
        <v>21914091.88</v>
      </c>
      <c r="L149" s="414"/>
      <c r="M149" s="414"/>
      <c r="N149" s="414"/>
      <c r="O149" s="414"/>
      <c r="P149" s="378">
        <v>42141076.16</v>
      </c>
      <c r="Q149" s="414"/>
      <c r="R149" s="414"/>
      <c r="S149" s="378">
        <v>42141076.16</v>
      </c>
      <c r="T149" s="414"/>
      <c r="U149" s="414"/>
      <c r="V149" s="414"/>
      <c r="W149" s="414"/>
      <c r="X149" s="414"/>
      <c r="Y149" s="414"/>
      <c r="Z149" s="379"/>
      <c r="AA149" s="379"/>
      <c r="AG149" s="10"/>
      <c r="AH149" s="10"/>
      <c r="AI149" s="10"/>
      <c r="AJ149" s="10"/>
      <c r="AK149" s="10"/>
    </row>
    <row r="150" spans="1:37" ht="22.5">
      <c r="A150" s="413" t="s">
        <v>785</v>
      </c>
      <c r="B150" s="379"/>
      <c r="C150" s="379"/>
      <c r="D150" s="378">
        <v>396236.2</v>
      </c>
      <c r="E150" s="414"/>
      <c r="F150" s="414"/>
      <c r="G150" s="414"/>
      <c r="H150" s="414"/>
      <c r="I150" s="378">
        <v>42454.18</v>
      </c>
      <c r="J150" s="414"/>
      <c r="K150" s="378">
        <v>353782.02</v>
      </c>
      <c r="L150" s="414"/>
      <c r="M150" s="414"/>
      <c r="N150" s="414"/>
      <c r="O150" s="414"/>
      <c r="P150" s="378">
        <v>396236.2</v>
      </c>
      <c r="Q150" s="414"/>
      <c r="R150" s="414"/>
      <c r="S150" s="378">
        <v>396236.2</v>
      </c>
      <c r="T150" s="414"/>
      <c r="U150" s="414"/>
      <c r="V150" s="414"/>
      <c r="W150" s="414"/>
      <c r="X150" s="414"/>
      <c r="Y150" s="414"/>
      <c r="Z150" s="379"/>
      <c r="AA150" s="379"/>
      <c r="AG150" s="10"/>
      <c r="AH150" s="10"/>
      <c r="AI150" s="10"/>
      <c r="AJ150" s="10"/>
      <c r="AK150" s="10"/>
    </row>
    <row r="151" spans="1:37" ht="22.5">
      <c r="A151" s="413" t="s">
        <v>698</v>
      </c>
      <c r="B151" s="378">
        <v>540568783.56</v>
      </c>
      <c r="C151" s="379"/>
      <c r="D151" s="378">
        <v>439501774.34</v>
      </c>
      <c r="E151" s="414"/>
      <c r="F151" s="414"/>
      <c r="G151" s="414"/>
      <c r="H151" s="414"/>
      <c r="I151" s="378">
        <v>47089491.31</v>
      </c>
      <c r="J151" s="414"/>
      <c r="K151" s="378">
        <v>392412283.03</v>
      </c>
      <c r="L151" s="414"/>
      <c r="M151" s="414"/>
      <c r="N151" s="414"/>
      <c r="O151" s="414"/>
      <c r="P151" s="378">
        <v>980070557.9</v>
      </c>
      <c r="Q151" s="414"/>
      <c r="R151" s="414"/>
      <c r="S151" s="378">
        <v>978232071.3</v>
      </c>
      <c r="T151" s="378">
        <v>1339633.52</v>
      </c>
      <c r="U151" s="414"/>
      <c r="V151" s="378">
        <v>498853.08</v>
      </c>
      <c r="W151" s="414"/>
      <c r="X151" s="414"/>
      <c r="Y151" s="414"/>
      <c r="Z151" s="379"/>
      <c r="AA151" s="379"/>
      <c r="AG151" s="10"/>
      <c r="AH151" s="10"/>
      <c r="AI151" s="10"/>
      <c r="AJ151" s="10"/>
      <c r="AK151" s="10"/>
    </row>
    <row r="152" spans="1:37" ht="22.5">
      <c r="A152" s="413" t="s">
        <v>782</v>
      </c>
      <c r="B152" s="379"/>
      <c r="C152" s="379"/>
      <c r="D152" s="378">
        <v>27693809.27</v>
      </c>
      <c r="E152" s="414"/>
      <c r="F152" s="414"/>
      <c r="G152" s="414"/>
      <c r="H152" s="414"/>
      <c r="I152" s="378">
        <v>2967197.61</v>
      </c>
      <c r="J152" s="414"/>
      <c r="K152" s="378">
        <v>24726611.66</v>
      </c>
      <c r="L152" s="414"/>
      <c r="M152" s="414"/>
      <c r="N152" s="414"/>
      <c r="O152" s="414"/>
      <c r="P152" s="378">
        <v>27693809.27</v>
      </c>
      <c r="Q152" s="414"/>
      <c r="R152" s="414"/>
      <c r="S152" s="378">
        <v>27590048.34</v>
      </c>
      <c r="T152" s="414"/>
      <c r="U152" s="414"/>
      <c r="V152" s="378">
        <v>103760.93</v>
      </c>
      <c r="W152" s="414"/>
      <c r="X152" s="414"/>
      <c r="Y152" s="414"/>
      <c r="Z152" s="379"/>
      <c r="AA152" s="379"/>
      <c r="AG152" s="10"/>
      <c r="AH152" s="10"/>
      <c r="AI152" s="10"/>
      <c r="AJ152" s="10"/>
      <c r="AK152" s="10"/>
    </row>
    <row r="153" spans="1:37" ht="15">
      <c r="A153" s="413" t="s">
        <v>712</v>
      </c>
      <c r="B153" s="378">
        <v>564780.78</v>
      </c>
      <c r="C153" s="379"/>
      <c r="D153" s="379"/>
      <c r="E153" s="414"/>
      <c r="F153" s="414"/>
      <c r="G153" s="414"/>
      <c r="H153" s="414"/>
      <c r="I153" s="414"/>
      <c r="J153" s="414"/>
      <c r="K153" s="414"/>
      <c r="L153" s="414"/>
      <c r="M153" s="414"/>
      <c r="N153" s="414"/>
      <c r="O153" s="414"/>
      <c r="P153" s="378">
        <v>564780.78</v>
      </c>
      <c r="Q153" s="414"/>
      <c r="R153" s="414"/>
      <c r="S153" s="378">
        <v>564780.78</v>
      </c>
      <c r="T153" s="414"/>
      <c r="U153" s="414"/>
      <c r="V153" s="414"/>
      <c r="W153" s="414"/>
      <c r="X153" s="414"/>
      <c r="Y153" s="414"/>
      <c r="Z153" s="379"/>
      <c r="AA153" s="379"/>
      <c r="AG153" s="10"/>
      <c r="AH153" s="10"/>
      <c r="AI153" s="10"/>
      <c r="AJ153" s="10"/>
      <c r="AK153" s="10"/>
    </row>
    <row r="154" spans="1:37" ht="15">
      <c r="A154" s="413" t="s">
        <v>713</v>
      </c>
      <c r="B154" s="378">
        <v>38730559.97</v>
      </c>
      <c r="C154" s="379"/>
      <c r="D154" s="378">
        <v>35982389.29</v>
      </c>
      <c r="E154" s="414"/>
      <c r="F154" s="414"/>
      <c r="G154" s="414"/>
      <c r="H154" s="414"/>
      <c r="I154" s="378">
        <v>3855259.59</v>
      </c>
      <c r="J154" s="414"/>
      <c r="K154" s="378">
        <v>32127129.7</v>
      </c>
      <c r="L154" s="414"/>
      <c r="M154" s="414"/>
      <c r="N154" s="414"/>
      <c r="O154" s="414"/>
      <c r="P154" s="378">
        <v>74712949.26</v>
      </c>
      <c r="Q154" s="414"/>
      <c r="R154" s="414"/>
      <c r="S154" s="378">
        <v>74712949.26</v>
      </c>
      <c r="T154" s="414"/>
      <c r="U154" s="414"/>
      <c r="V154" s="414"/>
      <c r="W154" s="414"/>
      <c r="X154" s="414"/>
      <c r="Y154" s="414"/>
      <c r="Z154" s="379"/>
      <c r="AA154" s="379"/>
      <c r="AG154" s="10"/>
      <c r="AH154" s="10"/>
      <c r="AI154" s="10"/>
      <c r="AJ154" s="10"/>
      <c r="AK154" s="10"/>
    </row>
    <row r="155" spans="1:37" ht="15">
      <c r="A155" s="413" t="s">
        <v>714</v>
      </c>
      <c r="B155" s="378">
        <v>31775492.08</v>
      </c>
      <c r="C155" s="379"/>
      <c r="D155" s="378">
        <v>20148200.52</v>
      </c>
      <c r="E155" s="414"/>
      <c r="F155" s="414"/>
      <c r="G155" s="414"/>
      <c r="H155" s="414"/>
      <c r="I155" s="378">
        <v>2158738.56</v>
      </c>
      <c r="J155" s="414"/>
      <c r="K155" s="378">
        <v>17989461.96</v>
      </c>
      <c r="L155" s="414"/>
      <c r="M155" s="414"/>
      <c r="N155" s="414"/>
      <c r="O155" s="414"/>
      <c r="P155" s="378">
        <v>51923692.6</v>
      </c>
      <c r="Q155" s="414"/>
      <c r="R155" s="414"/>
      <c r="S155" s="378">
        <v>51923692.6</v>
      </c>
      <c r="T155" s="414"/>
      <c r="U155" s="414"/>
      <c r="V155" s="414"/>
      <c r="W155" s="414"/>
      <c r="X155" s="414"/>
      <c r="Y155" s="414"/>
      <c r="Z155" s="379"/>
      <c r="AA155" s="379"/>
      <c r="AG155" s="10"/>
      <c r="AH155" s="10"/>
      <c r="AI155" s="10"/>
      <c r="AJ155" s="10"/>
      <c r="AK155" s="10"/>
    </row>
    <row r="156" spans="1:37" ht="15">
      <c r="A156" s="413" t="s">
        <v>699</v>
      </c>
      <c r="B156" s="378">
        <v>3951611.58</v>
      </c>
      <c r="C156" s="379"/>
      <c r="D156" s="378">
        <v>3732452.81</v>
      </c>
      <c r="E156" s="414"/>
      <c r="F156" s="414"/>
      <c r="G156" s="414"/>
      <c r="H156" s="414"/>
      <c r="I156" s="378">
        <v>399905.8</v>
      </c>
      <c r="J156" s="414"/>
      <c r="K156" s="378">
        <v>3332547.01</v>
      </c>
      <c r="L156" s="414"/>
      <c r="M156" s="414"/>
      <c r="N156" s="414"/>
      <c r="O156" s="414"/>
      <c r="P156" s="378">
        <v>7684064.39</v>
      </c>
      <c r="Q156" s="414"/>
      <c r="R156" s="414"/>
      <c r="S156" s="378">
        <v>7667612.46</v>
      </c>
      <c r="T156" s="378">
        <v>16451.93</v>
      </c>
      <c r="U156" s="414"/>
      <c r="V156" s="414"/>
      <c r="W156" s="414"/>
      <c r="X156" s="414"/>
      <c r="Y156" s="414"/>
      <c r="Z156" s="379"/>
      <c r="AA156" s="379"/>
      <c r="AG156" s="10"/>
      <c r="AH156" s="10"/>
      <c r="AI156" s="10"/>
      <c r="AJ156" s="10"/>
      <c r="AK156" s="10"/>
    </row>
    <row r="157" spans="1:37" ht="22.5">
      <c r="A157" s="413" t="s">
        <v>715</v>
      </c>
      <c r="B157" s="378">
        <v>95255.14</v>
      </c>
      <c r="C157" s="379"/>
      <c r="D157" s="379"/>
      <c r="E157" s="414"/>
      <c r="F157" s="414"/>
      <c r="G157" s="414"/>
      <c r="H157" s="414"/>
      <c r="I157" s="414"/>
      <c r="J157" s="414"/>
      <c r="K157" s="414"/>
      <c r="L157" s="414"/>
      <c r="M157" s="414"/>
      <c r="N157" s="414"/>
      <c r="O157" s="414"/>
      <c r="P157" s="378">
        <v>95255.14</v>
      </c>
      <c r="Q157" s="414"/>
      <c r="R157" s="414"/>
      <c r="S157" s="378">
        <v>95255.14</v>
      </c>
      <c r="T157" s="414"/>
      <c r="U157" s="414"/>
      <c r="V157" s="414"/>
      <c r="W157" s="414"/>
      <c r="X157" s="414"/>
      <c r="Y157" s="414"/>
      <c r="Z157" s="379"/>
      <c r="AA157" s="379"/>
      <c r="AG157" s="10"/>
      <c r="AH157" s="10"/>
      <c r="AI157" s="10"/>
      <c r="AJ157" s="10"/>
      <c r="AK157" s="10"/>
    </row>
    <row r="161" spans="1:16" ht="15">
      <c r="A161" s="413" t="s">
        <v>692</v>
      </c>
      <c r="B161" s="415">
        <v>-1564406372.3</v>
      </c>
      <c r="C161" s="379"/>
      <c r="D161" s="378">
        <v>7997861920.61</v>
      </c>
      <c r="E161" s="378">
        <v>3869140450.9900002</v>
      </c>
      <c r="F161" s="378">
        <v>25235927.32</v>
      </c>
      <c r="G161" s="378">
        <v>850000</v>
      </c>
      <c r="H161" s="378">
        <v>24388.52</v>
      </c>
      <c r="I161" s="378">
        <v>428743931.02</v>
      </c>
      <c r="J161" s="378">
        <v>101001130.64</v>
      </c>
      <c r="K161" s="378">
        <v>3543223235</v>
      </c>
      <c r="L161" s="414"/>
      <c r="M161" s="414"/>
      <c r="N161" s="378">
        <v>29642857.12</v>
      </c>
      <c r="O161" s="414"/>
      <c r="P161" s="378">
        <v>6164852174.13</v>
      </c>
    </row>
    <row r="162" spans="1:16" ht="22.5">
      <c r="A162" s="413" t="s">
        <v>709</v>
      </c>
      <c r="B162" s="378">
        <v>1172901207.02</v>
      </c>
      <c r="C162" s="379"/>
      <c r="D162" s="378">
        <v>1121310445.55</v>
      </c>
      <c r="E162" s="414"/>
      <c r="F162" s="414"/>
      <c r="G162" s="414"/>
      <c r="H162" s="414"/>
      <c r="I162" s="378">
        <v>120140408.28</v>
      </c>
      <c r="J162" s="414"/>
      <c r="K162" s="378">
        <v>1001170037.27</v>
      </c>
      <c r="L162" s="414"/>
      <c r="M162" s="414"/>
      <c r="N162" s="414"/>
      <c r="O162" s="414"/>
      <c r="P162" s="378">
        <v>2294211652.5699997</v>
      </c>
    </row>
    <row r="163" spans="1:16" ht="15">
      <c r="A163" s="413" t="s">
        <v>710</v>
      </c>
      <c r="B163" s="378">
        <v>6682082.55</v>
      </c>
      <c r="C163" s="379"/>
      <c r="D163" s="378">
        <v>740339.29</v>
      </c>
      <c r="E163" s="414"/>
      <c r="F163" s="414"/>
      <c r="G163" s="414"/>
      <c r="H163" s="414"/>
      <c r="I163" s="378">
        <v>79321.67</v>
      </c>
      <c r="J163" s="414"/>
      <c r="K163" s="378">
        <v>661017.62</v>
      </c>
      <c r="L163" s="414"/>
      <c r="M163" s="414"/>
      <c r="N163" s="414"/>
      <c r="O163" s="414"/>
      <c r="P163" s="378">
        <v>7422421.84</v>
      </c>
    </row>
    <row r="164" spans="1:16" ht="15">
      <c r="A164" s="413" t="s">
        <v>697</v>
      </c>
      <c r="B164" s="378">
        <v>123958094.54</v>
      </c>
      <c r="C164" s="379"/>
      <c r="D164" s="378">
        <v>121344448.29</v>
      </c>
      <c r="E164" s="414"/>
      <c r="F164" s="414"/>
      <c r="G164" s="414"/>
      <c r="H164" s="414"/>
      <c r="I164" s="378">
        <v>13001201.14</v>
      </c>
      <c r="J164" s="414"/>
      <c r="K164" s="378">
        <v>108343247.15</v>
      </c>
      <c r="L164" s="414"/>
      <c r="M164" s="414"/>
      <c r="N164" s="414"/>
      <c r="O164" s="414"/>
      <c r="P164" s="378">
        <v>245302542.83</v>
      </c>
    </row>
    <row r="165" spans="1:16" ht="22.5">
      <c r="A165" s="413" t="s">
        <v>783</v>
      </c>
      <c r="B165" s="379"/>
      <c r="C165" s="379"/>
      <c r="D165" s="378">
        <v>3564425.66</v>
      </c>
      <c r="E165" s="414"/>
      <c r="F165" s="414"/>
      <c r="G165" s="414"/>
      <c r="H165" s="414"/>
      <c r="I165" s="378">
        <v>381903.06</v>
      </c>
      <c r="J165" s="414"/>
      <c r="K165" s="378">
        <v>3182522.6</v>
      </c>
      <c r="L165" s="414"/>
      <c r="M165" s="414"/>
      <c r="N165" s="414"/>
      <c r="O165" s="414"/>
      <c r="P165" s="378">
        <v>3564425.66</v>
      </c>
    </row>
    <row r="166" spans="1:16" ht="22.5">
      <c r="A166" s="413" t="s">
        <v>784</v>
      </c>
      <c r="B166" s="379"/>
      <c r="C166" s="379"/>
      <c r="D166" s="378">
        <v>6178454.05</v>
      </c>
      <c r="E166" s="414"/>
      <c r="F166" s="414"/>
      <c r="G166" s="414"/>
      <c r="H166" s="414"/>
      <c r="I166" s="378">
        <v>661979.27</v>
      </c>
      <c r="J166" s="414"/>
      <c r="K166" s="378">
        <v>5516474.78</v>
      </c>
      <c r="L166" s="414"/>
      <c r="M166" s="414"/>
      <c r="N166" s="414"/>
      <c r="O166" s="414"/>
      <c r="P166" s="378">
        <v>6178454.05</v>
      </c>
    </row>
    <row r="167" spans="1:16" ht="15">
      <c r="A167" s="413" t="s">
        <v>711</v>
      </c>
      <c r="B167" s="378">
        <v>17597288.98</v>
      </c>
      <c r="C167" s="379"/>
      <c r="D167" s="378">
        <v>24543787.18</v>
      </c>
      <c r="E167" s="414"/>
      <c r="F167" s="414"/>
      <c r="G167" s="414"/>
      <c r="H167" s="414"/>
      <c r="I167" s="378">
        <v>2629695.3</v>
      </c>
      <c r="J167" s="414"/>
      <c r="K167" s="378">
        <v>21914091.88</v>
      </c>
      <c r="L167" s="414"/>
      <c r="M167" s="414"/>
      <c r="N167" s="414"/>
      <c r="O167" s="414"/>
      <c r="P167" s="378">
        <v>42141076.16</v>
      </c>
    </row>
    <row r="168" spans="1:16" ht="22.5">
      <c r="A168" s="413" t="s">
        <v>785</v>
      </c>
      <c r="B168" s="379"/>
      <c r="C168" s="379"/>
      <c r="D168" s="378">
        <v>396236.2</v>
      </c>
      <c r="E168" s="414"/>
      <c r="F168" s="414"/>
      <c r="G168" s="414"/>
      <c r="H168" s="414"/>
      <c r="I168" s="378">
        <v>42454.18</v>
      </c>
      <c r="J168" s="414"/>
      <c r="K168" s="378">
        <v>353782.02</v>
      </c>
      <c r="L168" s="414"/>
      <c r="M168" s="414"/>
      <c r="N168" s="414"/>
      <c r="O168" s="414"/>
      <c r="P168" s="378">
        <v>396236.2</v>
      </c>
    </row>
    <row r="169" spans="1:16" ht="22.5">
      <c r="A169" s="413" t="s">
        <v>698</v>
      </c>
      <c r="B169" s="378">
        <v>540568783.56</v>
      </c>
      <c r="C169" s="379"/>
      <c r="D169" s="378">
        <v>439501774.34</v>
      </c>
      <c r="E169" s="414"/>
      <c r="F169" s="414"/>
      <c r="G169" s="414"/>
      <c r="H169" s="414"/>
      <c r="I169" s="378">
        <v>47089491.31</v>
      </c>
      <c r="J169" s="414"/>
      <c r="K169" s="378">
        <v>392412283.03</v>
      </c>
      <c r="L169" s="414"/>
      <c r="M169" s="414"/>
      <c r="N169" s="414"/>
      <c r="O169" s="414"/>
      <c r="P169" s="378">
        <v>980070557.9</v>
      </c>
    </row>
    <row r="170" spans="1:16" ht="22.5">
      <c r="A170" s="413" t="s">
        <v>782</v>
      </c>
      <c r="B170" s="379"/>
      <c r="C170" s="379"/>
      <c r="D170" s="378">
        <v>27693809.27</v>
      </c>
      <c r="E170" s="414"/>
      <c r="F170" s="414"/>
      <c r="G170" s="414"/>
      <c r="H170" s="414"/>
      <c r="I170" s="378">
        <v>2967197.61</v>
      </c>
      <c r="J170" s="414"/>
      <c r="K170" s="378">
        <v>24726611.66</v>
      </c>
      <c r="L170" s="414"/>
      <c r="M170" s="414"/>
      <c r="N170" s="414"/>
      <c r="O170" s="414"/>
      <c r="P170" s="378">
        <v>27693809.27</v>
      </c>
    </row>
    <row r="171" spans="1:16" ht="15">
      <c r="A171" s="413" t="s">
        <v>712</v>
      </c>
      <c r="B171" s="378">
        <v>564780.78</v>
      </c>
      <c r="C171" s="379"/>
      <c r="D171" s="379"/>
      <c r="E171" s="414"/>
      <c r="F171" s="414"/>
      <c r="G171" s="414"/>
      <c r="H171" s="414"/>
      <c r="I171" s="414"/>
      <c r="J171" s="414"/>
      <c r="K171" s="414"/>
      <c r="L171" s="414"/>
      <c r="M171" s="414"/>
      <c r="N171" s="414"/>
      <c r="O171" s="414"/>
      <c r="P171" s="378">
        <v>564780.78</v>
      </c>
    </row>
    <row r="172" spans="1:16" ht="15">
      <c r="A172" s="413" t="s">
        <v>713</v>
      </c>
      <c r="B172" s="378">
        <v>38730559.97</v>
      </c>
      <c r="C172" s="379"/>
      <c r="D172" s="378">
        <v>35982389.29</v>
      </c>
      <c r="E172" s="414"/>
      <c r="F172" s="414"/>
      <c r="G172" s="414"/>
      <c r="H172" s="414"/>
      <c r="I172" s="378">
        <v>3855259.59</v>
      </c>
      <c r="J172" s="414"/>
      <c r="K172" s="378">
        <v>32127129.7</v>
      </c>
      <c r="L172" s="414"/>
      <c r="M172" s="414"/>
      <c r="N172" s="414"/>
      <c r="O172" s="414"/>
      <c r="P172" s="378">
        <v>74712949.26</v>
      </c>
    </row>
    <row r="173" spans="1:16" ht="15">
      <c r="A173" s="413" t="s">
        <v>714</v>
      </c>
      <c r="B173" s="378">
        <v>31775492.08</v>
      </c>
      <c r="C173" s="379"/>
      <c r="D173" s="378">
        <v>20148200.52</v>
      </c>
      <c r="E173" s="414"/>
      <c r="F173" s="414"/>
      <c r="G173" s="414"/>
      <c r="H173" s="414"/>
      <c r="I173" s="378">
        <v>2158738.56</v>
      </c>
      <c r="J173" s="414"/>
      <c r="K173" s="378">
        <v>17989461.96</v>
      </c>
      <c r="L173" s="414"/>
      <c r="M173" s="414"/>
      <c r="N173" s="414"/>
      <c r="O173" s="414"/>
      <c r="P173" s="378">
        <v>51923692.6</v>
      </c>
    </row>
    <row r="174" spans="1:16" ht="15">
      <c r="A174" s="413" t="s">
        <v>699</v>
      </c>
      <c r="B174" s="378">
        <v>3951611.58</v>
      </c>
      <c r="C174" s="379"/>
      <c r="D174" s="378">
        <v>3732452.81</v>
      </c>
      <c r="E174" s="414"/>
      <c r="F174" s="414"/>
      <c r="G174" s="414"/>
      <c r="H174" s="414"/>
      <c r="I174" s="378">
        <v>399905.8</v>
      </c>
      <c r="J174" s="414"/>
      <c r="K174" s="378">
        <v>3332547.01</v>
      </c>
      <c r="L174" s="414"/>
      <c r="M174" s="414"/>
      <c r="N174" s="414"/>
      <c r="O174" s="414"/>
      <c r="P174" s="378">
        <v>7684064.39</v>
      </c>
    </row>
    <row r="175" spans="1:16" ht="22.5">
      <c r="A175" s="413" t="s">
        <v>715</v>
      </c>
      <c r="B175" s="378">
        <v>95255.14</v>
      </c>
      <c r="C175" s="379"/>
      <c r="D175" s="379"/>
      <c r="E175" s="414"/>
      <c r="F175" s="414"/>
      <c r="G175" s="414"/>
      <c r="H175" s="414"/>
      <c r="I175" s="414"/>
      <c r="J175" s="414"/>
      <c r="K175" s="414"/>
      <c r="L175" s="414"/>
      <c r="M175" s="414"/>
      <c r="N175" s="414"/>
      <c r="O175" s="414"/>
      <c r="P175" s="378">
        <v>95255.14</v>
      </c>
    </row>
    <row r="178" spans="1:4" ht="15">
      <c r="A178" s="378">
        <v>4220629137.27</v>
      </c>
      <c r="B178" s="414"/>
      <c r="C178" s="378">
        <v>41785714.32</v>
      </c>
      <c r="D178" s="378">
        <v>11190295.89</v>
      </c>
    </row>
    <row r="179" spans="1:4" ht="15">
      <c r="A179" s="378">
        <v>1043252719.33</v>
      </c>
      <c r="B179" s="414"/>
      <c r="C179" s="414"/>
      <c r="D179" s="414"/>
    </row>
    <row r="180" spans="1:4" ht="15">
      <c r="A180" s="378">
        <v>5173200.82</v>
      </c>
      <c r="B180" s="414"/>
      <c r="C180" s="414"/>
      <c r="D180" s="414"/>
    </row>
    <row r="181" spans="1:4" ht="15">
      <c r="A181" s="378">
        <v>102773129.9</v>
      </c>
      <c r="B181" s="414"/>
      <c r="C181" s="414"/>
      <c r="D181" s="414"/>
    </row>
    <row r="182" spans="1:4" ht="15">
      <c r="A182" s="378">
        <v>15711861.47</v>
      </c>
      <c r="B182" s="414"/>
      <c r="C182" s="414"/>
      <c r="D182" s="414"/>
    </row>
    <row r="183" spans="1:4" ht="15">
      <c r="A183" s="378">
        <v>438921096.12</v>
      </c>
      <c r="B183" s="414"/>
      <c r="C183" s="414"/>
      <c r="D183" s="414"/>
    </row>
    <row r="184" spans="1:4" ht="15">
      <c r="A184" s="378">
        <v>414211.03</v>
      </c>
      <c r="B184" s="414"/>
      <c r="C184" s="414"/>
      <c r="D184" s="414"/>
    </row>
    <row r="185" spans="1:4" ht="15">
      <c r="A185" s="378">
        <v>32383053.84</v>
      </c>
      <c r="B185" s="414"/>
      <c r="C185" s="414"/>
      <c r="D185" s="414"/>
    </row>
    <row r="186" spans="1:4" ht="15">
      <c r="A186" s="378">
        <v>25558219.23</v>
      </c>
      <c r="B186" s="414"/>
      <c r="C186" s="414"/>
      <c r="D186" s="414"/>
    </row>
    <row r="187" spans="1:4" ht="15">
      <c r="A187" s="378">
        <v>3528224.45</v>
      </c>
      <c r="B187" s="414"/>
      <c r="C187" s="414"/>
      <c r="D187" s="414"/>
    </row>
    <row r="188" spans="1:4" ht="15">
      <c r="A188" s="378">
        <v>85049.24</v>
      </c>
      <c r="B188" s="414"/>
      <c r="C188" s="414"/>
      <c r="D188" s="414"/>
    </row>
  </sheetData>
  <sheetProtection/>
  <mergeCells count="80">
    <mergeCell ref="V140:V141"/>
    <mergeCell ref="W140:W141"/>
    <mergeCell ref="X140:X141"/>
    <mergeCell ref="Y140:Y141"/>
    <mergeCell ref="Z140:Z141"/>
    <mergeCell ref="AA140:AA141"/>
    <mergeCell ref="P140:P141"/>
    <mergeCell ref="Q140:Q141"/>
    <mergeCell ref="R140:R141"/>
    <mergeCell ref="S140:S141"/>
    <mergeCell ref="T140:T141"/>
    <mergeCell ref="U140:U141"/>
    <mergeCell ref="J140:J141"/>
    <mergeCell ref="K140:K141"/>
    <mergeCell ref="L140:L141"/>
    <mergeCell ref="M140:M141"/>
    <mergeCell ref="N140:N141"/>
    <mergeCell ref="O140:O141"/>
    <mergeCell ref="B140:B141"/>
    <mergeCell ref="C140:C141"/>
    <mergeCell ref="D140:D141"/>
    <mergeCell ref="E140:E141"/>
    <mergeCell ref="F140:F141"/>
    <mergeCell ref="G140:G141"/>
    <mergeCell ref="H140:H141"/>
    <mergeCell ref="I140:I141"/>
    <mergeCell ref="AF131:AF132"/>
    <mergeCell ref="AG131:AG132"/>
    <mergeCell ref="AH131:AH132"/>
    <mergeCell ref="AI131:AI132"/>
    <mergeCell ref="T131:T132"/>
    <mergeCell ref="U131:U132"/>
    <mergeCell ref="V131:V132"/>
    <mergeCell ref="W131:W132"/>
    <mergeCell ref="AJ131:AJ132"/>
    <mergeCell ref="AK131:AK132"/>
    <mergeCell ref="Z131:Z132"/>
    <mergeCell ref="AA131:AA132"/>
    <mergeCell ref="AB131:AB132"/>
    <mergeCell ref="AC131:AC132"/>
    <mergeCell ref="AD131:AD132"/>
    <mergeCell ref="AE131:AE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B3:C3"/>
    <mergeCell ref="D3:E3"/>
    <mergeCell ref="F3:G3"/>
    <mergeCell ref="B4:B5"/>
    <mergeCell ref="C4:C5"/>
    <mergeCell ref="D4:D5"/>
    <mergeCell ref="E4:E5"/>
    <mergeCell ref="F4:F5"/>
    <mergeCell ref="G4:G5"/>
    <mergeCell ref="B53:C53"/>
    <mergeCell ref="D53:E53"/>
    <mergeCell ref="F53:G53"/>
    <mergeCell ref="B54:B55"/>
    <mergeCell ref="C54:C55"/>
    <mergeCell ref="D54:D55"/>
    <mergeCell ref="E54:E55"/>
    <mergeCell ref="F54:F55"/>
    <mergeCell ref="G54:G5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Polomoshnova.G</dc:creator>
  <cp:keywords/>
  <dc:description/>
  <cp:lastModifiedBy>Бельфер Елена Анатольевна</cp:lastModifiedBy>
  <cp:lastPrinted>2014-08-30T04:55:45Z</cp:lastPrinted>
  <dcterms:created xsi:type="dcterms:W3CDTF">2013-08-06T08:25:46Z</dcterms:created>
  <dcterms:modified xsi:type="dcterms:W3CDTF">2014-08-30T06:26:03Z</dcterms:modified>
  <cp:category/>
  <cp:version/>
  <cp:contentType/>
  <cp:contentStatus/>
</cp:coreProperties>
</file>