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<sst xmlns="http://schemas.openxmlformats.org/spreadsheetml/2006/main" count="340" uniqueCount="285">
  <si>
    <t xml:space="preserve">Приложение 7 к Инструкции о перечне, формах и сроках представления финансовой отчетности финансовыми организациями и АО "Банк Развития Казахстана" </t>
  </si>
  <si>
    <t>Форма № 1</t>
  </si>
  <si>
    <t>Бухгалтерский баланс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</si>
  <si>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</si>
  <si>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</si>
  <si>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</si>
  <si>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</si>
  <si>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</si>
  <si>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</si>
  <si>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</si>
  <si>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</si>
  <si>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</si>
  <si>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</si>
  <si>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</si>
  <si>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</si>
  <si>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</si>
  <si>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</si>
  <si>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</si>
  <si>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</si>
  <si>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</si>
  <si>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</si>
  <si>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</si>
  <si>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</si>
  <si>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</si>
  <si>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</si>
  <si>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</si>
  <si>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</si>
  <si>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</si>
  <si>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</si>
  <si>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</si>
  <si>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</si>
  <si>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</si>
  <si>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</si>
  <si>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</si>
  <si>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</si>
  <si>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</si>
  <si>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</si>
  <si>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Дебиторская задолженность от клиентов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</si>
  <si>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</si>
  <si>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</si>
  <si>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</si>
  <si>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</si>
  <si>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</si>
  <si>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</si>
  <si>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</si>
  <si>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</si>
  <si>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</si>
  <si>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</si>
  <si>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</si>
  <si>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</si>
  <si>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</si>
  <si>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</si>
  <si>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</si>
  <si>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 xml:space="preserve">Отложенное налоговое обязательство 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</si>
  <si>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</si>
  <si>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</si>
  <si>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</si>
  <si>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</si>
  <si>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</si>
  <si>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</si>
  <si>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</si>
  <si>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</si>
  <si>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</si>
  <si>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</si>
  <si>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</si>
  <si>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</si>
  <si>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</si>
  <si>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</si>
  <si>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Дополнительные резервы (провизии), подлежащие созданию в соответствии с  требованиями Национального Банка Республики Казахстан</t>
  </si>
  <si>
    <t>Прочие резервы</t>
  </si>
  <si>
    <t xml:space="preserve">Нераспределенная прибыль (непокрытый убыток)    </t>
  </si>
  <si>
    <t>в том числе:</t>
  </si>
  <si>
    <t xml:space="preserve">     предыдущих лет</t>
  </si>
  <si>
    <t>43.1</t>
  </si>
  <si>
    <t xml:space="preserve">     отчетного периода</t>
  </si>
  <si>
    <t>43.2</t>
  </si>
  <si>
    <t>Доля меньшинства</t>
  </si>
  <si>
    <t xml:space="preserve">Итого капитал: </t>
  </si>
  <si>
    <t>Итого капитал и обязательства (стр.35+стр.44)</t>
  </si>
  <si>
    <t>Стоимость одной простой акции, тенге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</si>
  <si>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</si>
  <si>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(на период его отсутствия - лицо, его замещающее) _____________________</t>
  </si>
  <si>
    <t>дата __________________</t>
  </si>
  <si>
    <t>Главный бухгалтер      _____________________</t>
  </si>
  <si>
    <t xml:space="preserve">Исполнитель                 ______________________  </t>
  </si>
  <si>
    <t>Телефон        _______________________</t>
  </si>
  <si>
    <t>Место для печати</t>
  </si>
  <si>
    <t>Приложение 8 к Инструкции о перечне, формах и сроках представления финансовой отчетности финансовыми организациями и АО "Банк Развития Казахстана"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</si>
  <si>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</si>
  <si>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</si>
  <si>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</si>
  <si>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</si>
  <si>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</si>
  <si>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</si>
  <si>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</si>
  <si>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</si>
  <si>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</si>
  <si>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</si>
  <si>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</si>
  <si>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</si>
  <si>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</si>
  <si>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</si>
  <si>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</si>
  <si>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</si>
  <si>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</si>
  <si>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</si>
  <si>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</si>
  <si>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</si>
  <si>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</si>
  <si>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</si>
  <si>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</si>
  <si>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</si>
  <si>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</si>
  <si>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</si>
  <si>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</si>
  <si>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</si>
  <si>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</si>
  <si>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</si>
  <si>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</si>
  <si>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</si>
  <si>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</si>
  <si>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</si>
  <si>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</si>
  <si>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</si>
  <si>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</si>
  <si>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</si>
  <si>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</si>
  <si>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</si>
  <si>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</si>
  <si>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</si>
  <si>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</si>
  <si>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>4.1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</si>
  <si>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</si>
  <si>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</si>
  <si>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</si>
  <si>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</si>
  <si>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</si>
  <si>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</si>
  <si>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</si>
  <si>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</si>
  <si>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</si>
  <si>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</si>
  <si>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</si>
  <si>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</si>
  <si>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</si>
  <si>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</si>
  <si>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</si>
  <si>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</si>
  <si>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</si>
  <si>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</si>
  <si>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</si>
  <si>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</si>
  <si>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</si>
  <si>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</si>
  <si>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</si>
  <si>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</si>
  <si>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</si>
  <si>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</si>
  <si>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</si>
  <si>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</si>
  <si>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</si>
  <si>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</si>
  <si>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</si>
  <si>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</si>
  <si>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</si>
  <si>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</si>
  <si>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</si>
  <si>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</si>
  <si>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</si>
  <si>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</si>
  <si>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</si>
  <si>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</si>
  <si>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</si>
  <si>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</si>
  <si>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</si>
  <si>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</si>
  <si>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 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</si>
  <si>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</si>
  <si>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</si>
  <si>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</si>
  <si>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</si>
  <si>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</si>
  <si>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</si>
  <si>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</si>
  <si>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</si>
  <si>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</si>
  <si>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</si>
  <si>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      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</si>
  <si>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</si>
  <si>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</si>
  <si>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</si>
  <si>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</si>
  <si>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</si>
  <si>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Телефон</t>
  </si>
  <si>
    <r>
      <t xml:space="preserve">Отчет о движении денежных средств </t>
    </r>
    <r>
      <rPr>
        <sz val="8"/>
        <color indexed="8"/>
        <rFont val="Times New Roman"/>
        <family val="1"/>
      </rPr>
      <t>(косвенный метод)</t>
    </r>
  </si>
  <si>
    <t>(полное наименование ипотечной организации)</t>
  </si>
  <si>
    <t>Примечание</t>
  </si>
  <si>
    <t>За период с начала текущего года  (с нарастающим итогом)</t>
  </si>
  <si>
    <t>Прибыль (убыток) до налогообложения</t>
  </si>
  <si>
    <t xml:space="preserve"> 1 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</si>
  <si>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</si>
  <si>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</si>
  <si>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</si>
  <si>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по операциям с иностранной валютой</t>
  </si>
  <si>
    <t>доходы, начисленные в виде вознаграждения к получению</t>
  </si>
  <si>
    <t>расходы, начисленные по выплате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</si>
  <si>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</si>
  <si>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</si>
  <si>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 9</t>
  </si>
  <si>
    <t>(Увеличение) уменьшение в операционных активах</t>
  </si>
  <si>
    <t> 10</t>
  </si>
  <si>
    <t>(Увеличение) уменьшение вкладов и корреспондентских счетов в Национальном Банке Республики Казахстан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</si>
  <si>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</si>
  <si>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вкладов и корреспондентских счетов в банках и  организациях, осуществляющих отдельные виды банковских операций</t>
  </si>
  <si>
    <t>(Увеличение) уменьшение займа и финансовой аренды</t>
  </si>
  <si>
    <t>(Увеличение) уменьшение прочих требований к клиентам</t>
  </si>
  <si>
    <t>(Увеличение) уменьшение прочих активов</t>
  </si>
  <si>
    <t>Увеличение (уменьшение) в операционных обязательствах</t>
  </si>
  <si>
    <t> 17</t>
  </si>
  <si>
    <t>Увеличение (уменьшение) вкладов банков и организаций, осуществляющих отдельные виды банковских операций</t>
  </si>
  <si>
    <t>Увеличение (уменьшение) вкладов и текущих счетов физических и юридических лиц</t>
  </si>
  <si>
    <t>Увеличение (уменьшение) задолженности перед Правительством Республики Казахстан</t>
  </si>
  <si>
    <t>Увеличение (уменьшение) задолженности перед банками и организациями, осуществляющими отдельные виды банковских операций</t>
  </si>
  <si>
    <t>Увеличение (уменьшение) прочих привлеченных средств</t>
  </si>
  <si>
    <t>Увеличение (уменьшение) налоговых обязательств</t>
  </si>
  <si>
    <t>Увеличение (уменьшение) прочих обязательств</t>
  </si>
  <si>
    <t>Увеличение или уменьшение денег от операционной деятельности</t>
  </si>
  <si>
    <t> 25</t>
  </si>
  <si>
    <t>Начисленный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</si>
  <si>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</si>
  <si>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 27</t>
  </si>
  <si>
    <t>Денежные поступления и платежи, связанные с инвестиционной деятельностью</t>
  </si>
  <si>
    <t> 28</t>
  </si>
  <si>
    <t xml:space="preserve">Покупка ценных бумаг, удерживаемых до погашения </t>
  </si>
  <si>
    <t>Продажа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</si>
  <si>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</si>
  <si>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</si>
  <si>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 и субординированный долг</t>
  </si>
  <si>
    <t>Прочие поступления и платежи</t>
  </si>
  <si>
    <t>Итого увеличение или уменьшение денег от инвестиционной деятельности</t>
  </si>
  <si>
    <t> 35</t>
  </si>
  <si>
    <t>Денежные поступления и платежи, связанные с финансовой деятельностью</t>
  </si>
  <si>
    <t> 36</t>
  </si>
  <si>
    <t>Изменения в уставном капитале</t>
  </si>
  <si>
    <t>Выпуск долговых обязательств</t>
  </si>
  <si>
    <t>Выкупленные собственные акции или доли участников</t>
  </si>
  <si>
    <t>Выплата дивидендов</t>
  </si>
  <si>
    <t>Увеличение (уменьшение) доли меньшинства</t>
  </si>
  <si>
    <t> 41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</si>
  <si>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</si>
  <si>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</si>
  <si>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</si>
  <si>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</si>
  <si>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>Главный бухгалтер ____________________</t>
  </si>
  <si>
    <t xml:space="preserve">Исполнитель                      ______________________  </t>
  </si>
  <si>
    <t>Место печати</t>
  </si>
  <si>
    <t>Отчет об изменениях в капитале</t>
  </si>
  <si>
    <t>Символ</t>
  </si>
  <si>
    <t>Капитал родительской организации</t>
  </si>
  <si>
    <t>Итого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</si>
  <si>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</si>
  <si>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</si>
  <si>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</si>
  <si>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</si>
  <si>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</si>
  <si>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</si>
  <si>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</si>
  <si>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</si>
  <si>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</si>
  <si>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</si>
  <si>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</si>
  <si>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</si>
  <si>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</si>
  <si>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</si>
  <si>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</si>
  <si>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</si>
  <si>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</si>
  <si>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</si>
  <si>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</si>
  <si>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</si>
  <si>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</si>
  <si>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</si>
  <si>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"Капитал родительской организации" и "Доля меньшинства" заполняются при составлении консолидированной финансовой отчетности.
При составлении неконсолидированной финансовой отчетности или отсутствии дочерних организаций ипотечные организации заполняют графы 2-6.</t>
  </si>
  <si>
    <t>Главный бухгалтер _____________________</t>
  </si>
  <si>
    <t xml:space="preserve">Телефон: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</si>
</sst>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_р_._-;\-* #,##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justify" shrinkToFit="1"/>
    </xf>
    <xf numFmtId="0" fontId="5" fillId="0" borderId="0" xfId="0" applyFont="1" applyFill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64" fontId="2" fillId="0" borderId="10" xfId="59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wrapText="1" shrinkToFit="1"/>
      <protection locked="0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4" fontId="2" fillId="0" borderId="10" xfId="59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 shrinkToFit="1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/>
    </xf>
    <xf numFmtId="164" fontId="5" fillId="0" borderId="10" xfId="59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9" applyNumberFormat="1" applyFont="1" applyFill="1" applyBorder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49" fontId="2" fillId="0" borderId="0" xfId="52" applyNumberFormat="1" applyFont="1" applyFill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166" fontId="5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10" xfId="59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5" fillId="0" borderId="13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64" fontId="5" fillId="33" borderId="10" xfId="59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50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top" wrapText="1"/>
      <protection locked="0"/>
    </xf>
    <xf numFmtId="0" fontId="50" fillId="0" borderId="17" xfId="0" applyFont="1" applyFill="1" applyBorder="1" applyAlignment="1" applyProtection="1">
      <alignment horizontal="center" vertical="top" wrapText="1"/>
      <protection locked="0"/>
    </xf>
    <xf numFmtId="0" fontId="49" fillId="0" borderId="18" xfId="0" applyFont="1" applyFill="1" applyBorder="1" applyAlignment="1" applyProtection="1">
      <alignment horizontal="center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vertical="top" wrapText="1"/>
      <protection/>
    </xf>
    <xf numFmtId="3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0" fillId="0" borderId="10" xfId="0" applyNumberFormat="1" applyFont="1" applyFill="1" applyBorder="1" applyAlignment="1" applyProtection="1">
      <alignment/>
      <protection locked="0"/>
    </xf>
    <xf numFmtId="3" fontId="50" fillId="0" borderId="21" xfId="0" applyNumberFormat="1" applyFont="1" applyFill="1" applyBorder="1" applyAlignment="1" applyProtection="1">
      <alignment/>
      <protection locked="0"/>
    </xf>
    <xf numFmtId="3" fontId="50" fillId="0" borderId="10" xfId="0" applyNumberFormat="1" applyFont="1" applyFill="1" applyBorder="1" applyAlignment="1" applyProtection="1">
      <alignment/>
      <protection/>
    </xf>
    <xf numFmtId="3" fontId="50" fillId="0" borderId="21" xfId="0" applyNumberFormat="1" applyFont="1" applyFill="1" applyBorder="1" applyAlignment="1" applyProtection="1">
      <alignment/>
      <protection/>
    </xf>
    <xf numFmtId="0" fontId="49" fillId="0" borderId="20" xfId="0" applyFont="1" applyFill="1" applyBorder="1" applyAlignment="1" applyProtection="1">
      <alignment horizontal="justify" vertical="top" wrapText="1"/>
      <protection/>
    </xf>
    <xf numFmtId="3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9" fillId="0" borderId="10" xfId="0" applyNumberFormat="1" applyFont="1" applyFill="1" applyBorder="1" applyAlignment="1" applyProtection="1">
      <alignment/>
      <protection locked="0"/>
    </xf>
    <xf numFmtId="3" fontId="49" fillId="0" borderId="21" xfId="0" applyNumberFormat="1" applyFont="1" applyFill="1" applyBorder="1" applyAlignment="1" applyProtection="1">
      <alignment/>
      <protection locked="0"/>
    </xf>
    <xf numFmtId="0" fontId="49" fillId="0" borderId="20" xfId="0" applyFont="1" applyFill="1" applyBorder="1" applyAlignment="1" applyProtection="1">
      <alignment vertical="top" wrapText="1"/>
      <protection/>
    </xf>
    <xf numFmtId="3" fontId="50" fillId="0" borderId="10" xfId="0" applyNumberFormat="1" applyFont="1" applyFill="1" applyBorder="1" applyAlignment="1" applyProtection="1">
      <alignment vertical="top"/>
      <protection/>
    </xf>
    <xf numFmtId="3" fontId="50" fillId="0" borderId="21" xfId="0" applyNumberFormat="1" applyFont="1" applyFill="1" applyBorder="1" applyAlignment="1" applyProtection="1">
      <alignment vertical="top"/>
      <protection/>
    </xf>
    <xf numFmtId="3" fontId="49" fillId="0" borderId="10" xfId="0" applyNumberFormat="1" applyFont="1" applyFill="1" applyBorder="1" applyAlignment="1" applyProtection="1">
      <alignment vertical="top"/>
      <protection locked="0"/>
    </xf>
    <xf numFmtId="3" fontId="49" fillId="0" borderId="21" xfId="0" applyNumberFormat="1" applyFont="1" applyFill="1" applyBorder="1" applyAlignment="1" applyProtection="1">
      <alignment vertical="top"/>
      <protection locked="0"/>
    </xf>
    <xf numFmtId="0" fontId="49" fillId="0" borderId="20" xfId="0" applyFont="1" applyFill="1" applyBorder="1" applyAlignment="1" applyProtection="1">
      <alignment wrapText="1"/>
      <protection/>
    </xf>
    <xf numFmtId="3" fontId="50" fillId="0" borderId="21" xfId="0" applyNumberFormat="1" applyFont="1" applyFill="1" applyBorder="1" applyAlignment="1" applyProtection="1">
      <alignment vertical="top"/>
      <protection locked="0"/>
    </xf>
    <xf numFmtId="0" fontId="50" fillId="0" borderId="22" xfId="0" applyFont="1" applyFill="1" applyBorder="1" applyAlignment="1" applyProtection="1">
      <alignment vertical="top" wrapText="1"/>
      <protection/>
    </xf>
    <xf numFmtId="3" fontId="50" fillId="0" borderId="23" xfId="0" applyNumberFormat="1" applyFont="1" applyFill="1" applyBorder="1" applyAlignment="1" applyProtection="1">
      <alignment horizontal="center" vertical="top" wrapText="1"/>
      <protection locked="0"/>
    </xf>
    <xf numFmtId="3" fontId="50" fillId="0" borderId="23" xfId="0" applyNumberFormat="1" applyFont="1" applyFill="1" applyBorder="1" applyAlignment="1" applyProtection="1">
      <alignment/>
      <protection locked="0"/>
    </xf>
    <xf numFmtId="3" fontId="50" fillId="0" borderId="24" xfId="0" applyNumberFormat="1" applyFont="1" applyFill="1" applyBorder="1" applyAlignment="1" applyProtection="1">
      <alignment/>
      <protection locked="0"/>
    </xf>
    <xf numFmtId="3" fontId="49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49" fontId="49" fillId="0" borderId="0" xfId="52" applyNumberFormat="1" applyFont="1" applyFill="1" applyBorder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wrapText="1"/>
      <protection locked="0"/>
    </xf>
    <xf numFmtId="0" fontId="53" fillId="0" borderId="23" xfId="0" applyFont="1" applyBorder="1" applyAlignment="1" applyProtection="1">
      <alignment horizontal="center" vertical="justify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 applyProtection="1">
      <alignment vertical="top" wrapText="1"/>
      <protection/>
    </xf>
    <xf numFmtId="0" fontId="52" fillId="0" borderId="10" xfId="0" applyFont="1" applyBorder="1" applyAlignment="1" applyProtection="1">
      <alignment horizontal="center"/>
      <protection locked="0"/>
    </xf>
    <xf numFmtId="3" fontId="53" fillId="0" borderId="10" xfId="0" applyNumberFormat="1" applyFont="1" applyBorder="1" applyAlignment="1" applyProtection="1">
      <alignment/>
      <protection locked="0"/>
    </xf>
    <xf numFmtId="3" fontId="53" fillId="0" borderId="10" xfId="0" applyNumberFormat="1" applyFont="1" applyBorder="1" applyAlignment="1" applyProtection="1">
      <alignment/>
      <protection/>
    </xf>
    <xf numFmtId="3" fontId="53" fillId="0" borderId="21" xfId="0" applyNumberFormat="1" applyFont="1" applyBorder="1" applyAlignment="1" applyProtection="1">
      <alignment/>
      <protection/>
    </xf>
    <xf numFmtId="0" fontId="52" fillId="0" borderId="20" xfId="0" applyFont="1" applyBorder="1" applyAlignment="1" applyProtection="1">
      <alignment vertical="top" wrapText="1"/>
      <protection/>
    </xf>
    <xf numFmtId="3" fontId="52" fillId="0" borderId="10" xfId="0" applyNumberFormat="1" applyFont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 locked="0"/>
    </xf>
    <xf numFmtId="3" fontId="53" fillId="0" borderId="10" xfId="0" applyNumberFormat="1" applyFont="1" applyBorder="1" applyAlignment="1" applyProtection="1">
      <alignment horizontal="right"/>
      <protection/>
    </xf>
    <xf numFmtId="3" fontId="53" fillId="0" borderId="10" xfId="0" applyNumberFormat="1" applyFont="1" applyBorder="1" applyAlignment="1" applyProtection="1">
      <alignment horizontal="right"/>
      <protection locked="0"/>
    </xf>
    <xf numFmtId="0" fontId="52" fillId="0" borderId="20" xfId="0" applyFont="1" applyBorder="1" applyAlignment="1" applyProtection="1">
      <alignment vertical="top" wrapText="1"/>
      <protection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51" fillId="0" borderId="24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49" fontId="52" fillId="0" borderId="0" xfId="52" applyNumberFormat="1" applyFont="1" applyBorder="1" applyProtection="1">
      <alignment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5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0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justify"/>
      <protection locked="0"/>
    </xf>
    <xf numFmtId="0" fontId="53" fillId="0" borderId="26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авилам по ИК_ру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58;&#1048;%20(1-7&#1082;&#1083;)%20&#1085;&#1072;%2001_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74;%20&#1053;&#1072;&#1094;.&#1073;&#1072;&#1085;&#1082;\2014\&#1075;&#1086;&#1076;&#1086;&#1074;&#1086;&#1081;\&#1041;&#1058;&#1048;%20(1-7&#1082;&#1083;)%20&#1085;&#1072;%2001_01_2015%20c%20&#1072;&#1091;&#1076;&#1080;&#109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74;%20&#1053;&#1072;&#1094;.&#1073;&#1072;&#1085;&#1082;\2014\&#1080;&#1102;&#1085;&#1100;\&#1041;&#1058;&#1048;%20(1-7&#1082;&#1083;)%20&#1085;&#1072;%2001072014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74;%20&#1053;&#1072;&#1094;.&#1073;&#1072;&#1085;&#1082;\2013\&#1076;&#1077;&#1082;&#1072;&#1073;&#1088;&#1100;\&#1041;&#1058;&#1048;%20(1-7&#1082;&#1083;)%20&#1085;&#1072;%200101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2">
          <cell r="A2" t="str">
            <v>Акционерное общество  "БТА Ипотека"</v>
          </cell>
        </row>
        <row r="5">
          <cell r="A5" t="str">
            <v> по состоянию на 01  июля 2015</v>
          </cell>
        </row>
        <row r="10">
          <cell r="C10">
            <v>22</v>
          </cell>
          <cell r="G10">
            <v>0</v>
          </cell>
        </row>
        <row r="16">
          <cell r="G16">
            <v>0</v>
          </cell>
        </row>
        <row r="20">
          <cell r="C20">
            <v>0</v>
          </cell>
        </row>
        <row r="24">
          <cell r="G24">
            <v>8637909</v>
          </cell>
        </row>
        <row r="26">
          <cell r="C26">
            <v>629702</v>
          </cell>
        </row>
        <row r="29">
          <cell r="C29">
            <v>0</v>
          </cell>
        </row>
        <row r="38">
          <cell r="C38">
            <v>0</v>
          </cell>
        </row>
        <row r="40">
          <cell r="G40">
            <v>0</v>
          </cell>
        </row>
        <row r="44">
          <cell r="G44">
            <v>0</v>
          </cell>
        </row>
        <row r="45">
          <cell r="C45">
            <v>200000</v>
          </cell>
        </row>
        <row r="50">
          <cell r="G50">
            <v>0</v>
          </cell>
        </row>
        <row r="53">
          <cell r="G53">
            <v>0</v>
          </cell>
        </row>
        <row r="55">
          <cell r="G55">
            <v>3469231</v>
          </cell>
        </row>
        <row r="61">
          <cell r="G61">
            <v>0</v>
          </cell>
        </row>
        <row r="62">
          <cell r="C62">
            <v>0</v>
          </cell>
        </row>
        <row r="72">
          <cell r="G72">
            <v>260577</v>
          </cell>
        </row>
        <row r="75">
          <cell r="C75">
            <v>0</v>
          </cell>
          <cell r="G75">
            <v>165180</v>
          </cell>
        </row>
        <row r="82">
          <cell r="G82">
            <v>95397</v>
          </cell>
        </row>
        <row r="87">
          <cell r="C87">
            <v>12</v>
          </cell>
        </row>
        <row r="91">
          <cell r="C91">
            <v>12435531</v>
          </cell>
        </row>
        <row r="92">
          <cell r="G92">
            <v>0</v>
          </cell>
        </row>
        <row r="94">
          <cell r="G94">
            <v>0</v>
          </cell>
        </row>
        <row r="99">
          <cell r="G99">
            <v>913</v>
          </cell>
        </row>
        <row r="114">
          <cell r="C114">
            <v>0</v>
          </cell>
          <cell r="G114">
            <v>233990</v>
          </cell>
        </row>
        <row r="115">
          <cell r="G115">
            <v>14198</v>
          </cell>
        </row>
        <row r="122">
          <cell r="C122">
            <v>0</v>
          </cell>
        </row>
        <row r="137">
          <cell r="G137">
            <v>0</v>
          </cell>
        </row>
        <row r="138">
          <cell r="C138">
            <v>667713</v>
          </cell>
        </row>
        <row r="144">
          <cell r="G144">
            <v>12602620</v>
          </cell>
        </row>
        <row r="147">
          <cell r="C147">
            <v>4650864</v>
          </cell>
          <cell r="G147">
            <v>5615004</v>
          </cell>
        </row>
        <row r="155">
          <cell r="G155">
            <v>0</v>
          </cell>
        </row>
        <row r="156">
          <cell r="C156">
            <v>96805</v>
          </cell>
        </row>
        <row r="157">
          <cell r="C157">
            <v>59839</v>
          </cell>
        </row>
        <row r="158">
          <cell r="C158">
            <v>65089</v>
          </cell>
        </row>
        <row r="160">
          <cell r="C160">
            <v>3957</v>
          </cell>
        </row>
        <row r="162">
          <cell r="C162">
            <v>16498</v>
          </cell>
        </row>
        <row r="163">
          <cell r="C163">
            <v>31126</v>
          </cell>
        </row>
        <row r="167">
          <cell r="C167">
            <v>-60838</v>
          </cell>
        </row>
        <row r="168">
          <cell r="C168">
            <v>-54523</v>
          </cell>
        </row>
        <row r="169">
          <cell r="C169">
            <v>-56200</v>
          </cell>
        </row>
        <row r="171">
          <cell r="C171">
            <v>-2038</v>
          </cell>
        </row>
        <row r="172">
          <cell r="C172" t="str">
            <v>0</v>
          </cell>
          <cell r="G172">
            <v>5134250</v>
          </cell>
        </row>
        <row r="173">
          <cell r="C173">
            <v>-16498</v>
          </cell>
        </row>
        <row r="174">
          <cell r="C174">
            <v>-19894</v>
          </cell>
        </row>
        <row r="175">
          <cell r="G175">
            <v>-3148438</v>
          </cell>
        </row>
        <row r="177">
          <cell r="G177">
            <v>235600</v>
          </cell>
        </row>
        <row r="178">
          <cell r="C178">
            <v>99</v>
          </cell>
          <cell r="G178">
            <v>7836416</v>
          </cell>
        </row>
        <row r="179">
          <cell r="G179">
            <v>20439036</v>
          </cell>
        </row>
        <row r="187">
          <cell r="C187">
            <v>1398007</v>
          </cell>
        </row>
        <row r="188">
          <cell r="C188">
            <v>171103</v>
          </cell>
        </row>
        <row r="199">
          <cell r="C199">
            <v>54852</v>
          </cell>
        </row>
        <row r="201">
          <cell r="C201">
            <v>2532</v>
          </cell>
        </row>
        <row r="205">
          <cell r="C205">
            <v>13237</v>
          </cell>
        </row>
        <row r="220">
          <cell r="C220">
            <v>5370</v>
          </cell>
        </row>
        <row r="232">
          <cell r="C232">
            <v>146669</v>
          </cell>
        </row>
        <row r="233">
          <cell r="C233">
            <v>54460</v>
          </cell>
        </row>
        <row r="239">
          <cell r="C239">
            <v>87134</v>
          </cell>
        </row>
        <row r="246">
          <cell r="C246">
            <v>4045</v>
          </cell>
        </row>
        <row r="255">
          <cell r="C255">
            <v>0</v>
          </cell>
        </row>
        <row r="262">
          <cell r="C262">
            <v>20439036</v>
          </cell>
        </row>
      </sheetData>
      <sheetData sheetId="1">
        <row r="12">
          <cell r="G12">
            <v>0</v>
          </cell>
        </row>
        <row r="15">
          <cell r="G15">
            <v>0</v>
          </cell>
        </row>
        <row r="21">
          <cell r="G21">
            <v>0</v>
          </cell>
        </row>
        <row r="24">
          <cell r="G24">
            <v>11871</v>
          </cell>
        </row>
        <row r="28">
          <cell r="C28">
            <v>623848</v>
          </cell>
        </row>
        <row r="32">
          <cell r="C32">
            <v>70608</v>
          </cell>
        </row>
        <row r="36">
          <cell r="C36">
            <v>70608</v>
          </cell>
        </row>
        <row r="40">
          <cell r="G40">
            <v>0</v>
          </cell>
        </row>
        <row r="51">
          <cell r="G51">
            <v>0</v>
          </cell>
        </row>
        <row r="57">
          <cell r="C57">
            <v>161714</v>
          </cell>
        </row>
        <row r="66">
          <cell r="G66">
            <v>1280516</v>
          </cell>
        </row>
        <row r="71">
          <cell r="C71">
            <v>3697322</v>
          </cell>
        </row>
        <row r="82">
          <cell r="C82">
            <v>1200</v>
          </cell>
        </row>
        <row r="83">
          <cell r="G83">
            <v>0</v>
          </cell>
        </row>
        <row r="93">
          <cell r="C93">
            <v>11326</v>
          </cell>
        </row>
        <row r="97">
          <cell r="G97">
            <v>31527</v>
          </cell>
        </row>
        <row r="100">
          <cell r="C100">
            <v>8926</v>
          </cell>
          <cell r="G100">
            <v>0</v>
          </cell>
        </row>
        <row r="110">
          <cell r="C110">
            <v>345300</v>
          </cell>
        </row>
        <row r="111">
          <cell r="G111">
            <v>103495</v>
          </cell>
        </row>
        <row r="119">
          <cell r="C119">
            <v>61898</v>
          </cell>
        </row>
        <row r="127">
          <cell r="G127">
            <v>25044</v>
          </cell>
        </row>
        <row r="128">
          <cell r="C128">
            <v>1264</v>
          </cell>
        </row>
        <row r="132">
          <cell r="C132">
            <v>66978</v>
          </cell>
        </row>
        <row r="140">
          <cell r="C140">
            <v>10913</v>
          </cell>
        </row>
        <row r="141">
          <cell r="G141">
            <v>878409</v>
          </cell>
        </row>
        <row r="143">
          <cell r="G143">
            <v>386</v>
          </cell>
        </row>
        <row r="149">
          <cell r="C149">
            <v>752427</v>
          </cell>
        </row>
        <row r="151">
          <cell r="C151">
            <v>235</v>
          </cell>
        </row>
        <row r="156">
          <cell r="G156">
            <v>29167</v>
          </cell>
        </row>
        <row r="159">
          <cell r="G159">
            <v>41421</v>
          </cell>
        </row>
        <row r="166">
          <cell r="C166">
            <v>162520</v>
          </cell>
          <cell r="G166">
            <v>4023611</v>
          </cell>
        </row>
        <row r="168">
          <cell r="G168">
            <v>1857</v>
          </cell>
        </row>
        <row r="173">
          <cell r="C173">
            <v>216338</v>
          </cell>
        </row>
      </sheetData>
      <sheetData sheetId="4">
        <row r="11">
          <cell r="C11">
            <v>633769</v>
          </cell>
          <cell r="D11">
            <v>307835</v>
          </cell>
        </row>
        <row r="16">
          <cell r="C16">
            <v>3562</v>
          </cell>
          <cell r="D16">
            <v>3914</v>
          </cell>
        </row>
        <row r="23">
          <cell r="C23">
            <v>200099</v>
          </cell>
          <cell r="D23">
            <v>730048</v>
          </cell>
        </row>
        <row r="25">
          <cell r="C25">
            <v>14004641</v>
          </cell>
          <cell r="D25">
            <v>21898260</v>
          </cell>
        </row>
        <row r="28">
          <cell r="C28">
            <v>4650864</v>
          </cell>
          <cell r="D28">
            <v>5173869</v>
          </cell>
        </row>
        <row r="32">
          <cell r="C32">
            <v>54460</v>
          </cell>
          <cell r="D32">
            <v>51124</v>
          </cell>
        </row>
        <row r="34">
          <cell r="C34">
            <v>667713</v>
          </cell>
          <cell r="D34">
            <v>518461</v>
          </cell>
        </row>
        <row r="35">
          <cell r="C35">
            <v>73471</v>
          </cell>
          <cell r="D35">
            <v>73407</v>
          </cell>
        </row>
        <row r="42">
          <cell r="C42">
            <v>3564628</v>
          </cell>
          <cell r="D42">
            <v>4423589</v>
          </cell>
        </row>
        <row r="44">
          <cell r="C44">
            <v>8803089</v>
          </cell>
          <cell r="D44">
            <v>16594392</v>
          </cell>
        </row>
        <row r="45">
          <cell r="C45">
            <v>219792</v>
          </cell>
          <cell r="D45">
            <v>275118</v>
          </cell>
        </row>
        <row r="51">
          <cell r="C51">
            <v>14198</v>
          </cell>
          <cell r="D51">
            <v>15212</v>
          </cell>
        </row>
        <row r="53">
          <cell r="C53">
            <v>913</v>
          </cell>
          <cell r="D53">
            <v>7601</v>
          </cell>
        </row>
        <row r="71">
          <cell r="C71">
            <v>235600</v>
          </cell>
          <cell r="D71">
            <v>206181</v>
          </cell>
        </row>
      </sheetData>
      <sheetData sheetId="5">
        <row r="36">
          <cell r="D36">
            <v>16118</v>
          </cell>
          <cell r="F36">
            <v>37569</v>
          </cell>
        </row>
        <row r="65">
          <cell r="D65">
            <v>10913</v>
          </cell>
          <cell r="F65">
            <v>15012</v>
          </cell>
        </row>
        <row r="73">
          <cell r="D73">
            <v>-328146</v>
          </cell>
          <cell r="F73">
            <v>166777</v>
          </cell>
        </row>
        <row r="77">
          <cell r="D77">
            <v>451938</v>
          </cell>
          <cell r="F77">
            <v>170229</v>
          </cell>
        </row>
        <row r="79">
          <cell r="D79">
            <v>216338</v>
          </cell>
        </row>
        <row r="86">
          <cell r="D86">
            <v>235600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72">
          <cell r="G72">
            <v>275579</v>
          </cell>
        </row>
        <row r="187">
          <cell r="C187">
            <v>1424714</v>
          </cell>
        </row>
        <row r="188">
          <cell r="C188">
            <v>145595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72">
          <cell r="G72">
            <v>279665</v>
          </cell>
        </row>
        <row r="187">
          <cell r="C187">
            <v>1301409</v>
          </cell>
        </row>
        <row r="188">
          <cell r="C188">
            <v>147400</v>
          </cell>
        </row>
      </sheetData>
      <sheetData sheetId="1">
        <row r="143">
          <cell r="G143">
            <v>328</v>
          </cell>
        </row>
        <row r="151">
          <cell r="C151">
            <v>34</v>
          </cell>
        </row>
      </sheetData>
      <sheetData sheetId="4">
        <row r="11">
          <cell r="C11">
            <v>830728</v>
          </cell>
          <cell r="D11">
            <v>480858</v>
          </cell>
        </row>
        <row r="13">
          <cell r="C13">
            <v>134</v>
          </cell>
          <cell r="D13">
            <v>186</v>
          </cell>
        </row>
        <row r="23">
          <cell r="C23">
            <v>2002510</v>
          </cell>
          <cell r="D23">
            <v>700460</v>
          </cell>
        </row>
        <row r="25">
          <cell r="C25">
            <v>14797100</v>
          </cell>
          <cell r="D25">
            <v>16697917</v>
          </cell>
        </row>
        <row r="34">
          <cell r="C34">
            <v>302141</v>
          </cell>
          <cell r="D34">
            <v>204105</v>
          </cell>
        </row>
        <row r="36">
          <cell r="G36">
            <v>-728820</v>
          </cell>
        </row>
        <row r="41">
          <cell r="C41">
            <v>0</v>
          </cell>
          <cell r="D41">
            <v>1215</v>
          </cell>
        </row>
        <row r="42">
          <cell r="C42">
            <v>4895954</v>
          </cell>
          <cell r="D42">
            <v>5718090</v>
          </cell>
        </row>
        <row r="44">
          <cell r="D44">
            <v>12087416</v>
          </cell>
        </row>
        <row r="45">
          <cell r="C45">
            <v>287257</v>
          </cell>
          <cell r="D45">
            <v>351858</v>
          </cell>
        </row>
        <row r="51">
          <cell r="C51">
            <v>39656</v>
          </cell>
          <cell r="D51">
            <v>66019</v>
          </cell>
        </row>
        <row r="53">
          <cell r="C53">
            <v>565</v>
          </cell>
          <cell r="D53">
            <v>662</v>
          </cell>
        </row>
      </sheetData>
      <sheetData sheetId="5">
        <row r="79">
          <cell r="D79">
            <v>137317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кварт"/>
      <sheetName val="ф2кварт"/>
      <sheetName val="ф3"/>
      <sheetName val="ф4"/>
      <sheetName val="табл.1"/>
      <sheetName val="табл.2"/>
      <sheetName val="табл.3 (Займы)"/>
      <sheetName val="табл.4"/>
      <sheetName val="табл.5"/>
      <sheetName val="табл.6(ЦБ)"/>
      <sheetName val="табл.7(Депоз)"/>
      <sheetName val="табл.8(Дебитор)"/>
      <sheetName val="табл.9(Услов)"/>
      <sheetName val="табл.10"/>
      <sheetName val="табл.11"/>
      <sheetName val="пр.2"/>
      <sheetName val="пр.3"/>
      <sheetName val="пр.4ИК"/>
      <sheetName val="пр.5ЦБ"/>
      <sheetName val="пр.6РЕПО"/>
      <sheetName val="пр.7Вклады"/>
      <sheetName val="пр.8ПривлечДенег"/>
      <sheetName val="пр.9ПросрочЗадЗаймам"/>
      <sheetName val="пр.10 Отчет о сделках"/>
      <sheetName val="пр.11 Реестр лиц"/>
      <sheetName val="Доп.свед."/>
      <sheetName val="Активывзвешен"/>
      <sheetName val="Услов.и возм.обяз-вавзвешен"/>
      <sheetName val="РасчетПрудНорм"/>
      <sheetName val="Анкета"/>
      <sheetName val="СведРасчКоэфДост "/>
    </sheetNames>
    <sheetDataSet>
      <sheetData sheetId="0">
        <row r="72">
          <cell r="G72">
            <v>196657</v>
          </cell>
        </row>
        <row r="187">
          <cell r="C187">
            <v>1448629</v>
          </cell>
        </row>
        <row r="188">
          <cell r="C188">
            <v>27291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64">
      <selection activeCell="A81" sqref="A81"/>
    </sheetView>
  </sheetViews>
  <sheetFormatPr defaultColWidth="9.140625" defaultRowHeight="15"/>
  <cols>
    <col min="1" max="1" width="59.8515625" style="1" customWidth="1"/>
    <col min="2" max="2" width="12.140625" style="1" customWidth="1"/>
    <col min="3" max="3" width="18.57421875" style="1" customWidth="1"/>
    <col min="4" max="4" width="19.28125" style="1" customWidth="1"/>
    <col min="5" max="5" width="18.421875" style="1" hidden="1" customWidth="1"/>
    <col min="6" max="6" width="12.57421875" style="1" hidden="1" customWidth="1"/>
    <col min="7" max="7" width="11.7109375" style="1" bestFit="1" customWidth="1"/>
    <col min="8" max="8" width="10.57421875" style="1" customWidth="1"/>
    <col min="9" max="16384" width="9.140625" style="1" customWidth="1"/>
  </cols>
  <sheetData>
    <row r="1" spans="3:4" ht="52.5" customHeight="1">
      <c r="C1" s="133" t="s">
        <v>0</v>
      </c>
      <c r="D1" s="134"/>
    </row>
    <row r="2" spans="3:4" ht="21" customHeight="1">
      <c r="C2" s="2"/>
      <c r="D2" s="3" t="s">
        <v>1</v>
      </c>
    </row>
    <row r="3" spans="1:4" ht="15.75">
      <c r="A3" s="135" t="s">
        <v>2</v>
      </c>
      <c r="B3" s="135"/>
      <c r="C3" s="135"/>
      <c r="D3" s="135"/>
    </row>
    <row r="4" spans="1:7" ht="15.75">
      <c r="A4" s="136" t="str">
        <f>'[1]1-3 кл'!A2:G2</f>
        <v>Акционерное общество  "БТА Ипотека"</v>
      </c>
      <c r="B4" s="136"/>
      <c r="C4" s="136"/>
      <c r="D4" s="136"/>
      <c r="E4" s="4"/>
      <c r="F4" s="4"/>
      <c r="G4" s="4"/>
    </row>
    <row r="5" spans="1:4" ht="12.75">
      <c r="A5" s="137" t="s">
        <v>3</v>
      </c>
      <c r="B5" s="137"/>
      <c r="C5" s="137"/>
      <c r="D5" s="137"/>
    </row>
    <row r="6" spans="1:4" ht="12.75">
      <c r="A6" s="138" t="str">
        <f>'[1]1-3 кл'!A5:G5</f>
        <v> по состоянию на 01  июля 2015</v>
      </c>
      <c r="B6" s="138"/>
      <c r="C6" s="138"/>
      <c r="D6" s="138"/>
    </row>
    <row r="7" s="5" customFormat="1" ht="12.75">
      <c r="D7" s="6" t="s">
        <v>4</v>
      </c>
    </row>
    <row r="8" spans="1:4" ht="39.75" customHeight="1">
      <c r="A8" s="7" t="s">
        <v>5</v>
      </c>
      <c r="B8" s="7" t="s">
        <v>6</v>
      </c>
      <c r="C8" s="7" t="s">
        <v>7</v>
      </c>
      <c r="D8" s="7" t="s">
        <v>8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2.75">
      <c r="A10" s="9" t="s">
        <v>9</v>
      </c>
      <c r="B10" s="10"/>
      <c r="C10" s="11"/>
      <c r="D10" s="11"/>
    </row>
    <row r="11" spans="1:5" ht="12.75">
      <c r="A11" s="12" t="s">
        <v>10</v>
      </c>
      <c r="B11" s="13">
        <v>1</v>
      </c>
      <c r="C11" s="11">
        <f>'[1]1-3 кл'!C10+'[1]1-3 кл'!C25+'[1]1-3 кл'!C26+'[1]1-3 кл'!C246</f>
        <v>633769</v>
      </c>
      <c r="D11" s="11">
        <v>307835</v>
      </c>
      <c r="E11" s="14"/>
    </row>
    <row r="12" spans="1:4" ht="12.75">
      <c r="A12" s="15" t="s">
        <v>11</v>
      </c>
      <c r="B12" s="13">
        <v>2</v>
      </c>
      <c r="C12" s="11">
        <f>'[1]1-3 кл'!C20+'[1]1-3 кл'!C180</f>
        <v>0</v>
      </c>
      <c r="D12" s="11"/>
    </row>
    <row r="13" spans="1:7" s="20" customFormat="1" ht="27.75" customHeight="1">
      <c r="A13" s="16" t="s">
        <v>12</v>
      </c>
      <c r="B13" s="13">
        <v>3</v>
      </c>
      <c r="C13" s="17">
        <f>'[1]1-3 кл'!C38+'[1]1-3 кл'!C189</f>
        <v>0</v>
      </c>
      <c r="D13" s="17"/>
      <c r="E13" s="18" t="b">
        <f>C13='[1]1-3 кл'!C38+'[1]1-3 кл'!C189</f>
        <v>1</v>
      </c>
      <c r="F13" s="19"/>
      <c r="G13" s="19"/>
    </row>
    <row r="14" spans="1:4" ht="12.75">
      <c r="A14" s="15" t="s">
        <v>13</v>
      </c>
      <c r="B14" s="21" t="s">
        <v>14</v>
      </c>
      <c r="C14" s="11">
        <f>'[1]1-3 кл'!C255+'[1]1-3 кл'!C197</f>
        <v>0</v>
      </c>
      <c r="D14" s="11"/>
    </row>
    <row r="15" spans="1:7" ht="25.5">
      <c r="A15" s="15" t="s">
        <v>15</v>
      </c>
      <c r="B15" s="13">
        <v>5</v>
      </c>
      <c r="C15" s="17">
        <f>'[1]1-3 кл'!C114+'[1]1-3 кл'!C191</f>
        <v>0</v>
      </c>
      <c r="D15" s="17"/>
      <c r="E15" s="1" t="b">
        <f>C15='[1]1-3 кл'!C114+'[1]1-3 кл'!C191</f>
        <v>1</v>
      </c>
      <c r="F15" s="22"/>
      <c r="G15" s="22"/>
    </row>
    <row r="16" spans="1:7" ht="12.75">
      <c r="A16" s="15" t="s">
        <v>16</v>
      </c>
      <c r="B16" s="13">
        <v>6</v>
      </c>
      <c r="C16" s="11">
        <f>'[1]1-3 кл'!C201+'[1]1-3 кл'!C232-'[1]1-3 кл'!C233-'[1]1-3 кл'!C239-'[1]1-3 кл'!C246</f>
        <v>3562</v>
      </c>
      <c r="D16" s="17">
        <v>3914</v>
      </c>
      <c r="E16" s="14"/>
      <c r="G16" s="23"/>
    </row>
    <row r="17" spans="1:6" ht="12.75">
      <c r="A17" s="15" t="s">
        <v>17</v>
      </c>
      <c r="B17" s="13">
        <v>7</v>
      </c>
      <c r="C17" s="11"/>
      <c r="D17" s="11"/>
      <c r="E17" s="1" t="b">
        <f>C17&gt;=C19+C20</f>
        <v>1</v>
      </c>
      <c r="F17" s="1" t="b">
        <f>D17&gt;=D19+D20</f>
        <v>1</v>
      </c>
    </row>
    <row r="18" spans="1:4" ht="12.75">
      <c r="A18" s="15" t="s">
        <v>18</v>
      </c>
      <c r="B18" s="13"/>
      <c r="C18" s="11"/>
      <c r="D18" s="11"/>
    </row>
    <row r="19" spans="1:4" ht="12.75">
      <c r="A19" s="15" t="s">
        <v>19</v>
      </c>
      <c r="B19" s="21" t="s">
        <v>20</v>
      </c>
      <c r="C19" s="11"/>
      <c r="D19" s="11"/>
    </row>
    <row r="20" spans="1:4" ht="12.75">
      <c r="A20" s="15" t="s">
        <v>21</v>
      </c>
      <c r="B20" s="21" t="s">
        <v>22</v>
      </c>
      <c r="C20" s="11"/>
      <c r="D20" s="11"/>
    </row>
    <row r="21" spans="1:7" ht="25.5">
      <c r="A21" s="15" t="s">
        <v>23</v>
      </c>
      <c r="B21" s="21" t="s">
        <v>24</v>
      </c>
      <c r="C21" s="17">
        <f>'[1]1-3 кл'!C132+'[1]1-3 кл'!C190</f>
        <v>0</v>
      </c>
      <c r="D21" s="11"/>
      <c r="E21" s="24" t="b">
        <f>C21='[1]1-3 кл'!C132+'[1]1-3 кл'!C190</f>
        <v>1</v>
      </c>
      <c r="F21" s="22"/>
      <c r="G21" s="22"/>
    </row>
    <row r="22" spans="1:5" ht="12.75">
      <c r="A22" s="15" t="s">
        <v>25</v>
      </c>
      <c r="B22" s="13">
        <v>9</v>
      </c>
      <c r="C22" s="11">
        <f>'[1]1-3 кл'!C122+'[1]1-3 кл'!C193</f>
        <v>0</v>
      </c>
      <c r="D22" s="11"/>
      <c r="E22" s="14"/>
    </row>
    <row r="23" spans="1:7" ht="12.75">
      <c r="A23" s="15" t="s">
        <v>26</v>
      </c>
      <c r="B23" s="13">
        <v>10</v>
      </c>
      <c r="C23" s="11">
        <f>'[1]1-3 кл'!C27+'[1]1-3 кл'!C28+'[1]1-3 кл'!C29+'[1]1-3 кл'!C45+'[1]1-3 кл'!C177+'[1]1-3 кл'!C178+'[1]1-3 кл'!C179+'[1]1-3 кл'!C181+'[1]1-3 кл'!C176</f>
        <v>200099</v>
      </c>
      <c r="D23" s="11">
        <v>730048</v>
      </c>
      <c r="E23" s="14"/>
      <c r="G23" s="23"/>
    </row>
    <row r="24" spans="1:4" ht="25.5">
      <c r="A24" s="15" t="s">
        <v>27</v>
      </c>
      <c r="B24" s="13">
        <v>11</v>
      </c>
      <c r="C24" s="11"/>
      <c r="D24" s="11"/>
    </row>
    <row r="25" spans="1:7" ht="12.75">
      <c r="A25" s="15" t="s">
        <v>28</v>
      </c>
      <c r="B25" s="13">
        <v>12</v>
      </c>
      <c r="C25" s="11">
        <f>'[1]1-3 кл'!C62+'[1]1-3 кл'!C75+'[1]1-3 кл'!C91+'[1]1-3 кл'!C182+'[1]1-3 кл'!C183+'[1]1-3 кл'!C184+'[1]1-3 кл'!C185+'[1]1-3 кл'!C187+'[1]1-3 кл'!C188+'[1]1-3 кл'!C196+'[1]1-3 кл'!C216</f>
        <v>14004641</v>
      </c>
      <c r="D25" s="11">
        <v>21898260</v>
      </c>
      <c r="E25" s="14"/>
      <c r="G25" s="23"/>
    </row>
    <row r="26" spans="1:4" ht="12.75">
      <c r="A26" s="15" t="s">
        <v>29</v>
      </c>
      <c r="B26" s="13">
        <v>13</v>
      </c>
      <c r="C26" s="11">
        <f>'[1]1-3 кл'!C166</f>
        <v>0</v>
      </c>
      <c r="D26" s="11"/>
    </row>
    <row r="27" spans="1:5" ht="25.5">
      <c r="A27" s="15" t="s">
        <v>30</v>
      </c>
      <c r="B27" s="13">
        <v>14</v>
      </c>
      <c r="C27" s="11">
        <f>'[1]1-3 кл'!C126+'[1]1-3 кл'!C192</f>
        <v>0</v>
      </c>
      <c r="D27" s="11"/>
      <c r="E27" s="14"/>
    </row>
    <row r="28" spans="1:7" ht="12.75">
      <c r="A28" s="15" t="s">
        <v>31</v>
      </c>
      <c r="B28" s="13">
        <v>15</v>
      </c>
      <c r="C28" s="11">
        <f>'[1]1-3 кл'!C147</f>
        <v>4650864</v>
      </c>
      <c r="D28" s="11">
        <v>5173869</v>
      </c>
      <c r="G28" s="23"/>
    </row>
    <row r="29" spans="1:5" ht="25.5">
      <c r="A29" s="15" t="s">
        <v>32</v>
      </c>
      <c r="B29" s="13">
        <v>16</v>
      </c>
      <c r="C29" s="11"/>
      <c r="D29" s="11"/>
      <c r="E29" s="23"/>
    </row>
    <row r="30" spans="1:7" ht="25.5">
      <c r="A30" s="15" t="s">
        <v>33</v>
      </c>
      <c r="B30" s="13">
        <v>17</v>
      </c>
      <c r="C30" s="11">
        <f>'[1]1-3 кл'!C163+'[1]1-3 кл'!C174</f>
        <v>11232</v>
      </c>
      <c r="D30" s="11">
        <v>13237</v>
      </c>
      <c r="E30" s="14"/>
      <c r="G30" s="23"/>
    </row>
    <row r="31" spans="1:7" ht="12.75">
      <c r="A31" s="25" t="s">
        <v>34</v>
      </c>
      <c r="B31" s="13">
        <v>18</v>
      </c>
      <c r="C31" s="11">
        <f>'[1]1-3 кл'!C155+'[1]1-3 кл'!C156+'[1]1-3 кл'!C157+'[1]1-3 кл'!C158+'[1]1-3 кл'!C159+'[1]1-3 кл'!C160+'[1]1-3 кл'!C161+'[1]1-3 кл'!C162+'[1]1-3 кл'!C167+'[1]1-3 кл'!C168+'[1]1-3 кл'!C169+'[1]1-3 кл'!C170+'[1]1-3 кл'!C171+'[1]1-3 кл'!C172+'[1]1-3 кл'!C173</f>
        <v>52091</v>
      </c>
      <c r="D31" s="11">
        <v>59439</v>
      </c>
      <c r="E31" s="14"/>
      <c r="G31" s="23"/>
    </row>
    <row r="32" spans="1:7" ht="12.75">
      <c r="A32" s="15" t="s">
        <v>35</v>
      </c>
      <c r="B32" s="13">
        <v>19</v>
      </c>
      <c r="C32" s="11">
        <f>'[1]1-3 кл'!C233</f>
        <v>54460</v>
      </c>
      <c r="D32" s="11">
        <v>51124</v>
      </c>
      <c r="G32" s="23"/>
    </row>
    <row r="33" spans="1:7" ht="12.75">
      <c r="A33" s="15" t="s">
        <v>36</v>
      </c>
      <c r="B33" s="13">
        <v>20</v>
      </c>
      <c r="C33" s="11">
        <f>'[1]1-3 кл'!C239</f>
        <v>87134</v>
      </c>
      <c r="D33" s="11">
        <v>87134</v>
      </c>
      <c r="G33" s="23"/>
    </row>
    <row r="34" spans="1:7" ht="12.75">
      <c r="A34" s="15" t="s">
        <v>37</v>
      </c>
      <c r="B34" s="13"/>
      <c r="C34" s="11">
        <f>'[1]1-3 кл'!C138</f>
        <v>667713</v>
      </c>
      <c r="D34" s="11">
        <v>518461</v>
      </c>
      <c r="G34" s="23"/>
    </row>
    <row r="35" spans="1:7" ht="12.75">
      <c r="A35" s="15" t="s">
        <v>38</v>
      </c>
      <c r="B35" s="13">
        <v>21</v>
      </c>
      <c r="C35" s="11">
        <f>'[1]1-3 кл'!C199+'[1]1-3 кл'!C87+'[1]1-3 кл'!C205+'[1]1-3 кл'!C220</f>
        <v>73471</v>
      </c>
      <c r="D35" s="11">
        <v>73407</v>
      </c>
      <c r="G35" s="23"/>
    </row>
    <row r="36" spans="1:6" ht="12.75">
      <c r="A36" s="15"/>
      <c r="B36" s="13"/>
      <c r="C36" s="11"/>
      <c r="D36" s="11"/>
      <c r="E36" s="1" t="b">
        <f>C13+C15+C21='[1]1-3 кл'!C38+'[1]1-3 кл'!C114+'[1]1-3 кл'!C132+'[1]1-3 кл'!C189+'[1]1-3 кл'!C190+'[1]1-3 кл'!C191+'[1]1-3 кл'!C195</f>
        <v>1</v>
      </c>
      <c r="F36" s="14"/>
    </row>
    <row r="37" spans="1:5" ht="12.75">
      <c r="A37" s="26" t="s">
        <v>39</v>
      </c>
      <c r="B37" s="13">
        <v>22</v>
      </c>
      <c r="C37" s="27">
        <f>C11+C12+C13+C14+C15+C16+C17+C21+C22+C23+C24+C25+C26+C27+C28+C29+C30+C31+C32+C33+C34+C35</f>
        <v>20439036</v>
      </c>
      <c r="D37" s="27">
        <f>D11+D12+D13+D14+D15+D16+D17+D21+D22+D23+D24+D25+D26+D27+D28+D29+D30+D31+D32+D33+D34+D35</f>
        <v>28916728</v>
      </c>
      <c r="E37" s="28" t="b">
        <f>C37='[1]1-3 кл'!C262</f>
        <v>1</v>
      </c>
    </row>
    <row r="38" spans="1:5" ht="12.75">
      <c r="A38" s="15"/>
      <c r="B38" s="13"/>
      <c r="C38" s="11"/>
      <c r="D38" s="11"/>
      <c r="E38" s="28"/>
    </row>
    <row r="39" spans="1:4" ht="12.75">
      <c r="A39" s="29" t="s">
        <v>40</v>
      </c>
      <c r="B39" s="13"/>
      <c r="C39" s="11"/>
      <c r="D39" s="11"/>
    </row>
    <row r="40" spans="1:5" ht="12.75">
      <c r="A40" s="30" t="s">
        <v>41</v>
      </c>
      <c r="B40" s="13">
        <v>23</v>
      </c>
      <c r="C40" s="11">
        <f>'[1]1-3 кл'!G44+'[1]1-3 кл'!G50</f>
        <v>0</v>
      </c>
      <c r="D40" s="11"/>
      <c r="E40" s="31"/>
    </row>
    <row r="41" spans="1:4" ht="12.75">
      <c r="A41" s="15" t="s">
        <v>13</v>
      </c>
      <c r="B41" s="13">
        <v>24</v>
      </c>
      <c r="C41" s="11">
        <f>'[1]1-3 кл'!G137+'[1]1-3 кл'!G81</f>
        <v>0</v>
      </c>
      <c r="D41" s="11"/>
    </row>
    <row r="42" spans="1:7" ht="12.75">
      <c r="A42" s="30" t="s">
        <v>42</v>
      </c>
      <c r="B42" s="13">
        <v>25</v>
      </c>
      <c r="C42" s="11">
        <f>'[1]1-3 кл'!G55+'[1]1-3 кл'!G82+'[1]1-3 кл'!G86</f>
        <v>3564628</v>
      </c>
      <c r="D42" s="11">
        <v>4423589</v>
      </c>
      <c r="G42" s="23"/>
    </row>
    <row r="43" spans="1:5" ht="12.75">
      <c r="A43" s="15" t="s">
        <v>43</v>
      </c>
      <c r="B43" s="13">
        <v>26</v>
      </c>
      <c r="C43" s="11">
        <f>'[1]1-3 кл'!G53+'[1]1-3 кл'!G80</f>
        <v>0</v>
      </c>
      <c r="D43" s="11"/>
      <c r="E43" s="14"/>
    </row>
    <row r="44" spans="1:7" ht="12.75">
      <c r="A44" s="30" t="s">
        <v>44</v>
      </c>
      <c r="B44" s="13">
        <v>27</v>
      </c>
      <c r="C44" s="11">
        <f>'[1]1-3 кл'!G10+'[1]1-3 кл'!G16+'[1]1-3 кл'!G24+'[1]1-3 кл'!G40+'[1]1-3 кл'!G73+'[1]1-3 кл'!G74+'[1]1-3 кл'!G75+'[1]1-3 кл'!G76+'[1]1-3 кл'!G78+'[1]1-3 кл'!G85+'[1]1-3 кл'!G87</f>
        <v>8803089</v>
      </c>
      <c r="D44" s="11">
        <v>16594392</v>
      </c>
      <c r="E44" s="31"/>
      <c r="G44" s="23"/>
    </row>
    <row r="45" spans="1:7" ht="12.75">
      <c r="A45" s="30" t="s">
        <v>45</v>
      </c>
      <c r="B45" s="13">
        <v>28</v>
      </c>
      <c r="C45" s="11">
        <f>'[1]1-3 кл'!G114-'[1]1-3 кл'!G121-'[1]1-3 кл'!G115</f>
        <v>219792</v>
      </c>
      <c r="D45" s="11">
        <v>275118</v>
      </c>
      <c r="G45" s="23"/>
    </row>
    <row r="46" spans="1:4" ht="12.75">
      <c r="A46" s="12" t="s">
        <v>46</v>
      </c>
      <c r="B46" s="13">
        <v>29</v>
      </c>
      <c r="C46" s="11"/>
      <c r="D46" s="11"/>
    </row>
    <row r="47" spans="1:5" ht="12.75">
      <c r="A47" s="15" t="s">
        <v>18</v>
      </c>
      <c r="B47" s="13"/>
      <c r="C47" s="11"/>
      <c r="D47" s="11"/>
      <c r="E47" s="31"/>
    </row>
    <row r="48" spans="1:5" ht="25.5">
      <c r="A48" s="12" t="s">
        <v>47</v>
      </c>
      <c r="B48" s="21" t="s">
        <v>48</v>
      </c>
      <c r="C48" s="11"/>
      <c r="D48" s="11"/>
      <c r="E48" s="31"/>
    </row>
    <row r="49" spans="1:4" ht="12.75">
      <c r="A49" s="12" t="s">
        <v>49</v>
      </c>
      <c r="B49" s="13">
        <v>30</v>
      </c>
      <c r="C49" s="11"/>
      <c r="D49" s="11"/>
    </row>
    <row r="50" spans="1:5" ht="12.75">
      <c r="A50" s="12" t="s">
        <v>50</v>
      </c>
      <c r="B50" s="13">
        <v>31</v>
      </c>
      <c r="C50" s="11">
        <f>'[1]1-3 кл'!G61+'[1]1-3 кл'!G84+'[1]1-3 кл'!G90</f>
        <v>0</v>
      </c>
      <c r="D50" s="11"/>
      <c r="E50" s="31"/>
    </row>
    <row r="51" spans="1:7" ht="12.75">
      <c r="A51" s="15" t="s">
        <v>51</v>
      </c>
      <c r="B51" s="32" t="s">
        <v>52</v>
      </c>
      <c r="C51" s="11">
        <f>'[1]1-3 кл'!G115</f>
        <v>14198</v>
      </c>
      <c r="D51" s="11">
        <v>15212</v>
      </c>
      <c r="G51" s="23"/>
    </row>
    <row r="52" spans="1:4" ht="12.75">
      <c r="A52" s="15" t="s">
        <v>53</v>
      </c>
      <c r="B52" s="32" t="s">
        <v>54</v>
      </c>
      <c r="C52" s="11">
        <f>'[1]1-3 кл'!G121</f>
        <v>0</v>
      </c>
      <c r="D52" s="11"/>
    </row>
    <row r="53" spans="1:7" ht="12.75">
      <c r="A53" s="15" t="s">
        <v>55</v>
      </c>
      <c r="B53" s="32" t="s">
        <v>56</v>
      </c>
      <c r="C53" s="33">
        <f>'[1]1-3 кл'!G83+'[1]1-3 кл'!G92+'[1]1-3 кл'!G94+'[1]1-3 кл'!G99</f>
        <v>913</v>
      </c>
      <c r="D53" s="11">
        <v>7601</v>
      </c>
      <c r="E53" s="28"/>
      <c r="G53" s="23"/>
    </row>
    <row r="54" spans="1:5" ht="12.75">
      <c r="A54" s="15"/>
      <c r="B54" s="32"/>
      <c r="C54" s="11"/>
      <c r="D54" s="11"/>
      <c r="E54" s="34"/>
    </row>
    <row r="55" spans="1:5" ht="12.75">
      <c r="A55" s="26" t="s">
        <v>57</v>
      </c>
      <c r="B55" s="13">
        <v>35</v>
      </c>
      <c r="C55" s="27">
        <f>C40+C41+C42+C43+C44+C45+C46+C49+C50+C51+C52+C53</f>
        <v>12602620</v>
      </c>
      <c r="D55" s="27">
        <f>D40+D41+D42+D43+D44+D45+D46+D49+D50+D51+D52+D53</f>
        <v>21315912</v>
      </c>
      <c r="E55" s="1" t="b">
        <f>C55='[1]1-3 кл'!G144</f>
        <v>1</v>
      </c>
    </row>
    <row r="56" spans="1:4" ht="12.75">
      <c r="A56" s="26"/>
      <c r="B56" s="13"/>
      <c r="C56" s="11"/>
      <c r="D56" s="11"/>
    </row>
    <row r="57" spans="1:4" ht="12.75">
      <c r="A57" s="26" t="s">
        <v>58</v>
      </c>
      <c r="B57" s="13"/>
      <c r="C57" s="11"/>
      <c r="D57" s="11"/>
    </row>
    <row r="58" spans="1:7" ht="12.75">
      <c r="A58" s="15" t="s">
        <v>59</v>
      </c>
      <c r="B58" s="13">
        <v>36</v>
      </c>
      <c r="C58" s="11">
        <f>'[1]1-3 кл'!G147+'[1]1-3 кл'!G149</f>
        <v>5615004</v>
      </c>
      <c r="D58" s="11">
        <v>5615004</v>
      </c>
      <c r="E58" s="1" t="b">
        <f>C58&gt;=C60+C61</f>
        <v>1</v>
      </c>
      <c r="F58" s="1" t="b">
        <f>D58&gt;=D60+D61</f>
        <v>1</v>
      </c>
      <c r="G58" s="31"/>
    </row>
    <row r="59" spans="1:4" ht="12.75">
      <c r="A59" s="15" t="s">
        <v>18</v>
      </c>
      <c r="B59" s="13"/>
      <c r="C59" s="11"/>
      <c r="D59" s="11"/>
    </row>
    <row r="60" spans="1:4" ht="12.75">
      <c r="A60" s="30" t="s">
        <v>60</v>
      </c>
      <c r="B60" s="21" t="s">
        <v>61</v>
      </c>
      <c r="C60" s="11">
        <f>'[1]1-3 кл'!G147</f>
        <v>5615004</v>
      </c>
      <c r="D60" s="11">
        <v>5615004</v>
      </c>
    </row>
    <row r="61" spans="1:4" ht="12.75">
      <c r="A61" s="15" t="s">
        <v>62</v>
      </c>
      <c r="B61" s="21" t="s">
        <v>63</v>
      </c>
      <c r="C61" s="11">
        <f>'[1]1-3 кл'!G149</f>
        <v>0</v>
      </c>
      <c r="D61" s="11"/>
    </row>
    <row r="62" spans="1:4" ht="12.75">
      <c r="A62" s="15" t="s">
        <v>64</v>
      </c>
      <c r="B62" s="13">
        <v>37</v>
      </c>
      <c r="C62" s="11">
        <f>'[1]1-3 кл'!G151</f>
        <v>0</v>
      </c>
      <c r="D62" s="11"/>
    </row>
    <row r="63" spans="1:4" ht="12.75">
      <c r="A63" s="15" t="s">
        <v>65</v>
      </c>
      <c r="B63" s="13">
        <v>38</v>
      </c>
      <c r="C63" s="11">
        <f>('[1]1-3 кл'!G148)+('[1]1-3 кл'!G150)</f>
        <v>0</v>
      </c>
      <c r="D63" s="11"/>
    </row>
    <row r="64" spans="1:4" ht="12.75">
      <c r="A64" s="15" t="s">
        <v>66</v>
      </c>
      <c r="B64" s="13">
        <v>39</v>
      </c>
      <c r="C64" s="11">
        <f>'[1]1-3 кл'!G172</f>
        <v>5134250</v>
      </c>
      <c r="D64" s="11">
        <v>5134250</v>
      </c>
    </row>
    <row r="65" spans="1:5" ht="12.75">
      <c r="A65" s="15" t="s">
        <v>67</v>
      </c>
      <c r="B65" s="13">
        <v>40</v>
      </c>
      <c r="C65" s="11"/>
      <c r="D65" s="11"/>
      <c r="E65" s="31"/>
    </row>
    <row r="66" spans="1:5" ht="38.25">
      <c r="A66" s="15" t="s">
        <v>68</v>
      </c>
      <c r="B66" s="13">
        <v>41</v>
      </c>
      <c r="C66" s="17">
        <f>'[1]1-3 кл'!G155</f>
        <v>0</v>
      </c>
      <c r="D66" s="11"/>
      <c r="E66" s="31"/>
    </row>
    <row r="67" spans="1:4" ht="12.75">
      <c r="A67" s="15" t="s">
        <v>69</v>
      </c>
      <c r="B67" s="13">
        <v>42</v>
      </c>
      <c r="C67" s="27">
        <f>'[1]1-3 кл'!G174+'[1]1-3 кл'!G173</f>
        <v>0</v>
      </c>
      <c r="D67" s="11"/>
    </row>
    <row r="68" spans="1:7" ht="12.75">
      <c r="A68" s="15" t="s">
        <v>70</v>
      </c>
      <c r="B68" s="35">
        <v>43</v>
      </c>
      <c r="C68" s="11">
        <f>C70+C71</f>
        <v>-2912838</v>
      </c>
      <c r="D68" s="11">
        <f>D70+D71</f>
        <v>-3148438</v>
      </c>
      <c r="E68" s="31" t="b">
        <f>C68='[1]1-3 кл'!G177+'[1]1-3 кл'!G175</f>
        <v>1</v>
      </c>
      <c r="G68" s="23"/>
    </row>
    <row r="69" spans="1:4" ht="12.75">
      <c r="A69" s="15" t="s">
        <v>71</v>
      </c>
      <c r="B69" s="35"/>
      <c r="C69" s="11"/>
      <c r="D69" s="11"/>
    </row>
    <row r="70" spans="1:5" ht="12.75" customHeight="1">
      <c r="A70" s="1" t="s">
        <v>72</v>
      </c>
      <c r="B70" s="21" t="s">
        <v>73</v>
      </c>
      <c r="C70" s="11">
        <f>'[1]1-3 кл'!G175</f>
        <v>-3148438</v>
      </c>
      <c r="D70" s="11">
        <v>-3354619</v>
      </c>
      <c r="E70" s="1" t="b">
        <f>C70='[1]1-3 кл'!G175</f>
        <v>1</v>
      </c>
    </row>
    <row r="71" spans="1:7" ht="15.75">
      <c r="A71" s="15" t="s">
        <v>74</v>
      </c>
      <c r="B71" s="21" t="s">
        <v>75</v>
      </c>
      <c r="C71" s="11">
        <f>'[1]1-3 кл'!G177</f>
        <v>235600</v>
      </c>
      <c r="D71" s="11">
        <v>206181</v>
      </c>
      <c r="E71" s="34" t="b">
        <f>C71='[1]ф2кварт'!D86</f>
        <v>1</v>
      </c>
      <c r="G71" s="36"/>
    </row>
    <row r="72" spans="1:6" ht="12.75">
      <c r="A72" s="15" t="s">
        <v>76</v>
      </c>
      <c r="B72" s="35">
        <v>44</v>
      </c>
      <c r="C72" s="11"/>
      <c r="D72" s="11"/>
      <c r="E72" s="28"/>
      <c r="F72" s="31"/>
    </row>
    <row r="73" spans="1:5" ht="12.75">
      <c r="A73" s="15"/>
      <c r="B73" s="35"/>
      <c r="C73" s="11"/>
      <c r="D73" s="11"/>
      <c r="E73" s="34"/>
    </row>
    <row r="74" spans="1:7" ht="12.75">
      <c r="A74" s="26" t="s">
        <v>77</v>
      </c>
      <c r="B74" s="35">
        <v>45</v>
      </c>
      <c r="C74" s="27">
        <f>C58+C62+C63+C64+C65+C66+C67+C68-C72</f>
        <v>7836416</v>
      </c>
      <c r="D74" s="27">
        <f>D58+D62+D63+D64+D65+D66+D67+D68-D72</f>
        <v>7600816</v>
      </c>
      <c r="E74" s="28" t="b">
        <f>C74='[1]1-3 кл'!G178</f>
        <v>1</v>
      </c>
      <c r="G74" s="31"/>
    </row>
    <row r="75" spans="1:5" ht="12.75">
      <c r="A75" s="26"/>
      <c r="B75" s="35"/>
      <c r="C75" s="27"/>
      <c r="D75" s="27"/>
      <c r="E75" s="31"/>
    </row>
    <row r="76" spans="1:6" ht="12.75">
      <c r="A76" s="26" t="s">
        <v>78</v>
      </c>
      <c r="B76" s="35">
        <v>46</v>
      </c>
      <c r="C76" s="27">
        <f>C55+C74</f>
        <v>20439036</v>
      </c>
      <c r="D76" s="27">
        <f>D55+D74</f>
        <v>28916728</v>
      </c>
      <c r="E76" s="28" t="b">
        <f>C76='[1]1-3 кл'!G179</f>
        <v>1</v>
      </c>
      <c r="F76" s="37"/>
    </row>
    <row r="77" spans="1:4" ht="12.75">
      <c r="A77" s="1" t="s">
        <v>79</v>
      </c>
      <c r="C77" s="38">
        <f>SUM(C76-C55-C30)/55000</f>
        <v>142.27607272727272</v>
      </c>
      <c r="D77" s="34"/>
    </row>
    <row r="78" spans="1:6" ht="12.75">
      <c r="A78" s="139"/>
      <c r="B78" s="140"/>
      <c r="C78" s="140"/>
      <c r="D78" s="140"/>
      <c r="F78" s="31"/>
    </row>
    <row r="79" spans="1:4" ht="12.75">
      <c r="A79" s="132" t="s">
        <v>80</v>
      </c>
      <c r="B79" s="132"/>
      <c r="C79" s="132"/>
      <c r="D79" s="132"/>
    </row>
    <row r="80" ht="12.75">
      <c r="A80" s="39"/>
    </row>
    <row r="81" spans="1:4" ht="12.75">
      <c r="A81" s="39" t="s">
        <v>81</v>
      </c>
      <c r="D81" s="1" t="s">
        <v>82</v>
      </c>
    </row>
    <row r="82" ht="12.75">
      <c r="A82" s="39"/>
    </row>
    <row r="83" spans="1:4" ht="12.75">
      <c r="A83" s="40" t="s">
        <v>83</v>
      </c>
      <c r="D83" s="1" t="s">
        <v>82</v>
      </c>
    </row>
    <row r="84" ht="12.75">
      <c r="A84" s="39"/>
    </row>
    <row r="85" spans="1:4" ht="12.75">
      <c r="A85" s="39" t="s">
        <v>84</v>
      </c>
      <c r="D85" s="1" t="s">
        <v>82</v>
      </c>
    </row>
    <row r="86" ht="12.75">
      <c r="A86" s="39"/>
    </row>
    <row r="87" spans="1:4" ht="11.25" customHeight="1">
      <c r="A87" s="1" t="s">
        <v>85</v>
      </c>
      <c r="C87" s="37"/>
      <c r="D87" s="37"/>
    </row>
    <row r="88" ht="24.75" customHeight="1">
      <c r="A88" s="39" t="s">
        <v>86</v>
      </c>
    </row>
    <row r="89" ht="12.75">
      <c r="A89" s="39"/>
    </row>
    <row r="90" ht="12.75">
      <c r="A90" s="39"/>
    </row>
  </sheetData>
  <sheetProtection/>
  <mergeCells count="7">
    <mergeCell ref="A79:D79"/>
    <mergeCell ref="C1:D1"/>
    <mergeCell ref="A3:D3"/>
    <mergeCell ref="A4:D4"/>
    <mergeCell ref="A5:D5"/>
    <mergeCell ref="A6:D6"/>
    <mergeCell ref="A78:D78"/>
  </mergeCells>
  <printOptions/>
  <pageMargins left="0.95" right="0.15748031496062992" top="0.22" bottom="0.2755905511811024" header="0.17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9">
      <selection activeCell="A92" sqref="A92"/>
    </sheetView>
  </sheetViews>
  <sheetFormatPr defaultColWidth="9.140625" defaultRowHeight="15"/>
  <cols>
    <col min="1" max="1" width="57.8515625" style="1" customWidth="1"/>
    <col min="2" max="2" width="10.8515625" style="1" customWidth="1"/>
    <col min="3" max="3" width="15.28125" style="1" customWidth="1"/>
    <col min="4" max="4" width="15.421875" style="1" customWidth="1"/>
    <col min="5" max="5" width="16.00390625" style="1" customWidth="1"/>
    <col min="6" max="6" width="21.421875" style="1" customWidth="1"/>
    <col min="7" max="7" width="21.00390625" style="1" customWidth="1"/>
    <col min="8" max="16384" width="9.140625" style="1" customWidth="1"/>
  </cols>
  <sheetData>
    <row r="1" spans="5:6" ht="52.5" customHeight="1">
      <c r="E1" s="133" t="s">
        <v>87</v>
      </c>
      <c r="F1" s="134"/>
    </row>
    <row r="2" spans="5:6" ht="23.25" customHeight="1">
      <c r="E2" s="2"/>
      <c r="F2" s="3" t="s">
        <v>88</v>
      </c>
    </row>
    <row r="3" spans="1:6" ht="12.75">
      <c r="A3" s="138" t="s">
        <v>89</v>
      </c>
      <c r="B3" s="138"/>
      <c r="C3" s="138"/>
      <c r="D3" s="138"/>
      <c r="E3" s="138"/>
      <c r="F3" s="138"/>
    </row>
    <row r="4" spans="1:6" ht="12.75">
      <c r="A4" s="138" t="str">
        <f>'[1]1-3 кл'!A2:G2</f>
        <v>Акционерное общество  "БТА Ипотека"</v>
      </c>
      <c r="B4" s="138"/>
      <c r="C4" s="138"/>
      <c r="D4" s="138"/>
      <c r="E4" s="138"/>
      <c r="F4" s="138"/>
    </row>
    <row r="5" spans="1:6" ht="12.75">
      <c r="A5" s="137" t="s">
        <v>3</v>
      </c>
      <c r="B5" s="137"/>
      <c r="C5" s="137"/>
      <c r="D5" s="137"/>
      <c r="E5" s="137"/>
      <c r="F5" s="137"/>
    </row>
    <row r="6" spans="1:6" ht="12.75">
      <c r="A6" s="138" t="str">
        <f>'[1]1-3 кл'!A5:G5</f>
        <v> по состоянию на 01  июля 2015</v>
      </c>
      <c r="B6" s="138"/>
      <c r="C6" s="138"/>
      <c r="D6" s="138"/>
      <c r="E6" s="138"/>
      <c r="F6" s="138"/>
    </row>
    <row r="7" spans="1:6" s="5" customFormat="1" ht="12.75">
      <c r="A7" s="41"/>
      <c r="B7" s="41"/>
      <c r="C7" s="41"/>
      <c r="D7" s="41"/>
      <c r="E7" s="41"/>
      <c r="F7" s="41"/>
    </row>
    <row r="8" s="5" customFormat="1" ht="12.75">
      <c r="F8" s="6" t="s">
        <v>90</v>
      </c>
    </row>
    <row r="9" spans="1:8" ht="63.75">
      <c r="A9" s="7" t="s">
        <v>5</v>
      </c>
      <c r="B9" s="7" t="s">
        <v>6</v>
      </c>
      <c r="C9" s="7" t="s">
        <v>91</v>
      </c>
      <c r="D9" s="7" t="s">
        <v>92</v>
      </c>
      <c r="E9" s="7" t="s">
        <v>93</v>
      </c>
      <c r="F9" s="7" t="s">
        <v>94</v>
      </c>
      <c r="G9" s="42"/>
      <c r="H9" s="43"/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12" ht="15" customHeight="1">
      <c r="A11" s="44" t="s">
        <v>95</v>
      </c>
      <c r="B11" s="45">
        <v>1</v>
      </c>
      <c r="C11" s="46">
        <f>C13+C14+C15+C16+C17+C18+C19</f>
        <v>857819</v>
      </c>
      <c r="D11" s="27">
        <f>D13+D14+D15+D16+D17+D18+D19</f>
        <v>1323914</v>
      </c>
      <c r="E11" s="27">
        <f>E13+E14+E15+E16+E17+E18+E19</f>
        <v>1167292</v>
      </c>
      <c r="F11" s="27">
        <f>F13+F14+F15+F16+F17+F18+F19</f>
        <v>1577293</v>
      </c>
      <c r="L11" s="36"/>
    </row>
    <row r="12" spans="1:8" ht="15.75" customHeight="1">
      <c r="A12" s="47" t="s">
        <v>71</v>
      </c>
      <c r="B12" s="48"/>
      <c r="C12" s="11"/>
      <c r="D12" s="11"/>
      <c r="E12" s="11"/>
      <c r="F12" s="11"/>
      <c r="G12" s="49"/>
      <c r="H12" s="28"/>
    </row>
    <row r="13" spans="1:7" ht="15.75" customHeight="1">
      <c r="A13" s="47" t="s">
        <v>96</v>
      </c>
      <c r="B13" s="50" t="s">
        <v>97</v>
      </c>
      <c r="C13" s="51"/>
      <c r="D13" s="11">
        <f>'[1]4-5 кл'!G12</f>
        <v>0</v>
      </c>
      <c r="E13" s="11"/>
      <c r="F13" s="11"/>
      <c r="G13" s="14"/>
    </row>
    <row r="14" spans="1:6" ht="12.75">
      <c r="A14" s="47" t="s">
        <v>98</v>
      </c>
      <c r="B14" s="50" t="s">
        <v>99</v>
      </c>
      <c r="C14" s="51">
        <f>D14-9126</f>
        <v>2745</v>
      </c>
      <c r="D14" s="11">
        <f>'[1]4-5 кл'!G24+'[1]4-5 кл'!G15</f>
        <v>11871</v>
      </c>
      <c r="E14" s="11">
        <v>20417</v>
      </c>
      <c r="F14" s="11">
        <v>29721</v>
      </c>
    </row>
    <row r="15" spans="1:6" ht="12.75">
      <c r="A15" s="47" t="s">
        <v>100</v>
      </c>
      <c r="B15" s="50" t="s">
        <v>101</v>
      </c>
      <c r="C15" s="51">
        <f>D15-442034</f>
        <v>838482</v>
      </c>
      <c r="D15" s="11">
        <f>'[1]4-5 кл'!G40+'[1]4-5 кл'!G51+'[1]4-5 кл'!G66</f>
        <v>1280516</v>
      </c>
      <c r="E15" s="11">
        <v>1139935</v>
      </c>
      <c r="F15" s="11">
        <v>1540632</v>
      </c>
    </row>
    <row r="16" spans="1:6" ht="12.75">
      <c r="A16" s="47" t="s">
        <v>102</v>
      </c>
      <c r="B16" s="50" t="s">
        <v>103</v>
      </c>
      <c r="C16" s="51"/>
      <c r="D16" s="11"/>
      <c r="E16" s="11"/>
      <c r="F16" s="11">
        <f aca="true" t="shared" si="0" ref="F16:F37">E16</f>
        <v>0</v>
      </c>
    </row>
    <row r="17" spans="1:8" ht="12.75" customHeight="1">
      <c r="A17" s="47" t="s">
        <v>104</v>
      </c>
      <c r="B17" s="50" t="s">
        <v>105</v>
      </c>
      <c r="C17" s="51"/>
      <c r="D17" s="11">
        <f>'[1]4-5 кл'!G21+'[1]4-5 кл'!G83+'[1]4-5 кл'!G90+'[1]4-5 кл'!G91+'[1]4-5 кл'!G94+'[1]4-5 кл'!G95+'[1]4-5 кл'!G96</f>
        <v>0</v>
      </c>
      <c r="E17" s="11"/>
      <c r="F17" s="11">
        <f t="shared" si="0"/>
        <v>0</v>
      </c>
      <c r="G17" s="49"/>
      <c r="H17" s="28"/>
    </row>
    <row r="18" spans="1:6" ht="12.75">
      <c r="A18" s="47" t="s">
        <v>106</v>
      </c>
      <c r="B18" s="50" t="s">
        <v>107</v>
      </c>
      <c r="C18" s="51"/>
      <c r="D18" s="11">
        <f>'[1]4-5 кл'!G88</f>
        <v>0</v>
      </c>
      <c r="E18" s="11"/>
      <c r="F18" s="11">
        <f t="shared" si="0"/>
        <v>0</v>
      </c>
    </row>
    <row r="19" spans="1:8" ht="15.75">
      <c r="A19" s="52" t="s">
        <v>108</v>
      </c>
      <c r="B19" s="50" t="s">
        <v>109</v>
      </c>
      <c r="C19" s="51">
        <f>D19-14935</f>
        <v>16592</v>
      </c>
      <c r="D19" s="11">
        <f>'[1]4-5 кл'!G92+'[1]4-5 кл'!G93+'[1]4-5 кл'!G97+'[1]4-5 кл'!G155</f>
        <v>31527</v>
      </c>
      <c r="E19" s="27">
        <v>6940</v>
      </c>
      <c r="F19" s="27">
        <f t="shared" si="0"/>
        <v>6940</v>
      </c>
      <c r="H19" s="36"/>
    </row>
    <row r="20" spans="1:6" ht="12.75">
      <c r="A20" s="47" t="s">
        <v>110</v>
      </c>
      <c r="B20" s="48">
        <v>2</v>
      </c>
      <c r="C20" s="27"/>
      <c r="D20" s="27"/>
      <c r="E20" s="27"/>
      <c r="F20" s="27">
        <f t="shared" si="0"/>
        <v>0</v>
      </c>
    </row>
    <row r="21" spans="1:6" ht="12.75">
      <c r="A21" s="52" t="s">
        <v>18</v>
      </c>
      <c r="B21" s="48"/>
      <c r="C21" s="11"/>
      <c r="D21" s="11"/>
      <c r="E21" s="11"/>
      <c r="F21" s="27">
        <f t="shared" si="0"/>
        <v>0</v>
      </c>
    </row>
    <row r="22" spans="1:6" ht="12.75">
      <c r="A22" s="47" t="s">
        <v>111</v>
      </c>
      <c r="B22" s="50" t="s">
        <v>112</v>
      </c>
      <c r="C22" s="11"/>
      <c r="D22" s="11"/>
      <c r="E22" s="11"/>
      <c r="F22" s="27">
        <f t="shared" si="0"/>
        <v>0</v>
      </c>
    </row>
    <row r="23" spans="1:6" ht="12.75">
      <c r="A23" s="52" t="s">
        <v>113</v>
      </c>
      <c r="B23" s="50" t="s">
        <v>114</v>
      </c>
      <c r="C23" s="11"/>
      <c r="D23" s="11"/>
      <c r="E23" s="11"/>
      <c r="F23" s="27">
        <f t="shared" si="0"/>
        <v>0</v>
      </c>
    </row>
    <row r="24" spans="1:11" ht="25.5">
      <c r="A24" s="47" t="s">
        <v>115</v>
      </c>
      <c r="B24" s="53">
        <v>3</v>
      </c>
      <c r="C24" s="27">
        <f>C26+C27+C28+C29+C30+C31</f>
        <v>50583</v>
      </c>
      <c r="D24" s="27">
        <f>D26+D27+D28+D29+D30+D31</f>
        <v>103495</v>
      </c>
      <c r="E24" s="27">
        <v>65171</v>
      </c>
      <c r="F24" s="27">
        <v>134470</v>
      </c>
      <c r="K24" s="36"/>
    </row>
    <row r="25" spans="1:6" ht="12.75">
      <c r="A25" s="47" t="s">
        <v>71</v>
      </c>
      <c r="B25" s="48"/>
      <c r="C25" s="11"/>
      <c r="D25" s="11"/>
      <c r="E25" s="11"/>
      <c r="F25" s="11">
        <f t="shared" si="0"/>
        <v>0</v>
      </c>
    </row>
    <row r="26" spans="1:6" ht="12.75">
      <c r="A26" s="47" t="s">
        <v>116</v>
      </c>
      <c r="B26" s="50" t="s">
        <v>117</v>
      </c>
      <c r="C26" s="11"/>
      <c r="D26" s="11">
        <f>'[1]4-5 кл'!G112</f>
        <v>0</v>
      </c>
      <c r="E26" s="11"/>
      <c r="F26" s="11">
        <f t="shared" si="0"/>
        <v>0</v>
      </c>
    </row>
    <row r="27" spans="1:6" ht="12.75">
      <c r="A27" s="47" t="s">
        <v>118</v>
      </c>
      <c r="B27" s="50" t="s">
        <v>119</v>
      </c>
      <c r="C27" s="11"/>
      <c r="D27" s="11"/>
      <c r="E27" s="11"/>
      <c r="F27" s="11">
        <f t="shared" si="0"/>
        <v>0</v>
      </c>
    </row>
    <row r="28" spans="1:6" ht="12.75">
      <c r="A28" s="54" t="s">
        <v>120</v>
      </c>
      <c r="B28" s="50" t="s">
        <v>121</v>
      </c>
      <c r="C28" s="11"/>
      <c r="D28" s="11">
        <f>'[1]4-5 кл'!G119</f>
        <v>0</v>
      </c>
      <c r="E28" s="11"/>
      <c r="F28" s="11">
        <f t="shared" si="0"/>
        <v>0</v>
      </c>
    </row>
    <row r="29" spans="1:6" ht="12.75">
      <c r="A29" s="47" t="s">
        <v>122</v>
      </c>
      <c r="B29" s="50" t="s">
        <v>123</v>
      </c>
      <c r="C29" s="11"/>
      <c r="D29" s="11">
        <f>'[1]4-5 кл'!G125</f>
        <v>0</v>
      </c>
      <c r="E29" s="11"/>
      <c r="F29" s="11">
        <f t="shared" si="0"/>
        <v>0</v>
      </c>
    </row>
    <row r="30" spans="1:6" ht="12.75">
      <c r="A30" s="47" t="s">
        <v>124</v>
      </c>
      <c r="B30" s="50" t="s">
        <v>125</v>
      </c>
      <c r="C30" s="11"/>
      <c r="D30" s="11">
        <f>'[1]4-5 кл'!G123</f>
        <v>0</v>
      </c>
      <c r="E30" s="11"/>
      <c r="F30" s="11">
        <f t="shared" si="0"/>
        <v>0</v>
      </c>
    </row>
    <row r="31" spans="1:6" ht="25.5">
      <c r="A31" s="52" t="s">
        <v>126</v>
      </c>
      <c r="B31" s="50" t="s">
        <v>127</v>
      </c>
      <c r="C31" s="27">
        <f>D31-52912</f>
        <v>50583</v>
      </c>
      <c r="D31" s="27">
        <f>'[1]4-5 кл'!G111</f>
        <v>103495</v>
      </c>
      <c r="E31" s="27">
        <v>65171</v>
      </c>
      <c r="F31" s="27">
        <v>134470</v>
      </c>
    </row>
    <row r="32" spans="1:6" ht="12.75">
      <c r="A32" s="47" t="s">
        <v>128</v>
      </c>
      <c r="B32" s="48">
        <v>4</v>
      </c>
      <c r="C32" s="27">
        <v>-1200</v>
      </c>
      <c r="D32" s="27">
        <f>D34+D35</f>
        <v>-1200</v>
      </c>
      <c r="E32" s="27">
        <f>E34+E35</f>
        <v>-59</v>
      </c>
      <c r="F32" s="27">
        <f>F34+F35</f>
        <v>-110</v>
      </c>
    </row>
    <row r="33" spans="1:6" ht="12.75">
      <c r="A33" s="52" t="s">
        <v>129</v>
      </c>
      <c r="B33" s="48"/>
      <c r="C33" s="11"/>
      <c r="D33" s="11"/>
      <c r="E33" s="11"/>
      <c r="F33" s="27">
        <f t="shared" si="0"/>
        <v>0</v>
      </c>
    </row>
    <row r="34" spans="1:6" ht="12.75">
      <c r="A34" s="47" t="s">
        <v>130</v>
      </c>
      <c r="B34" s="50" t="s">
        <v>131</v>
      </c>
      <c r="C34" s="11">
        <v>-1200</v>
      </c>
      <c r="D34" s="11">
        <f>'[1]4-5 кл'!G100-'[1]4-5 кл'!C82</f>
        <v>-1200</v>
      </c>
      <c r="E34" s="11">
        <v>-28</v>
      </c>
      <c r="F34" s="27">
        <f>-57</f>
        <v>-57</v>
      </c>
    </row>
    <row r="35" spans="1:6" ht="45" customHeight="1">
      <c r="A35" s="52" t="s">
        <v>132</v>
      </c>
      <c r="B35" s="50" t="s">
        <v>133</v>
      </c>
      <c r="C35" s="11"/>
      <c r="D35" s="11">
        <f>'[1]4-5 кл'!G131-'[1]4-5 кл'!C104</f>
        <v>0</v>
      </c>
      <c r="E35" s="11">
        <v>-31</v>
      </c>
      <c r="F35" s="27">
        <f>-53</f>
        <v>-53</v>
      </c>
    </row>
    <row r="36" spans="1:6" ht="12.75">
      <c r="A36" s="54" t="s">
        <v>134</v>
      </c>
      <c r="B36" s="48">
        <v>5</v>
      </c>
      <c r="C36" s="27">
        <f>D36-15370</f>
        <v>748</v>
      </c>
      <c r="D36" s="27">
        <f>('[1]4-5 кл'!G127+'[1]4-5 кл'!G129+'[1]4-5 кл'!G130)-('[1]4-5 кл'!C100+'[1]4-5 кл'!C102+'[1]4-5 кл'!C103)</f>
        <v>16118</v>
      </c>
      <c r="E36" s="27">
        <v>-183</v>
      </c>
      <c r="F36" s="27">
        <v>37569</v>
      </c>
    </row>
    <row r="37" spans="1:6" ht="12.75">
      <c r="A37" s="54" t="s">
        <v>135</v>
      </c>
      <c r="B37" s="48">
        <v>6</v>
      </c>
      <c r="C37" s="27"/>
      <c r="D37" s="27"/>
      <c r="E37" s="27"/>
      <c r="F37" s="27">
        <f t="shared" si="0"/>
        <v>0</v>
      </c>
    </row>
    <row r="38" spans="1:6" ht="12.75">
      <c r="A38" s="54" t="s">
        <v>136</v>
      </c>
      <c r="B38" s="48">
        <v>7</v>
      </c>
      <c r="C38" s="27"/>
      <c r="D38" s="27"/>
      <c r="E38" s="27"/>
      <c r="F38" s="27"/>
    </row>
    <row r="39" spans="1:6" ht="12.75">
      <c r="A39" s="54" t="s">
        <v>137</v>
      </c>
      <c r="B39" s="48">
        <v>8</v>
      </c>
      <c r="C39" s="27">
        <f>D39-427926</f>
        <v>450483</v>
      </c>
      <c r="D39" s="27">
        <f>'[1]4-5 кл'!G141</f>
        <v>878409</v>
      </c>
      <c r="E39" s="27">
        <v>707305</v>
      </c>
      <c r="F39" s="27">
        <v>1446902</v>
      </c>
    </row>
    <row r="40" spans="1:6" ht="12.75">
      <c r="A40" s="47" t="s">
        <v>138</v>
      </c>
      <c r="B40" s="48">
        <v>9</v>
      </c>
      <c r="C40" s="27">
        <f>D40-41385</f>
        <v>29203</v>
      </c>
      <c r="D40" s="27">
        <f>'[1]4-5 кл'!G156+'[1]4-5 кл'!G158+'[1]4-5 кл'!G159</f>
        <v>70588</v>
      </c>
      <c r="E40" s="27">
        <v>74027</v>
      </c>
      <c r="F40" s="27">
        <v>174014</v>
      </c>
    </row>
    <row r="41" spans="1:9" ht="15.75">
      <c r="A41" s="55" t="s">
        <v>139</v>
      </c>
      <c r="B41" s="48">
        <v>10</v>
      </c>
      <c r="C41" s="27">
        <f>C11+C24+C36+C39+C40+C32</f>
        <v>1387636</v>
      </c>
      <c r="D41" s="27">
        <f>D11+D20+D24+D32+D36+D37+D38+D39+D40</f>
        <v>2391324</v>
      </c>
      <c r="E41" s="27">
        <f>E11+E24+E32+E36+E39+E40</f>
        <v>2013553</v>
      </c>
      <c r="F41" s="27">
        <f>F11+F24+F32+F36+F39+F40</f>
        <v>3370138</v>
      </c>
      <c r="I41" s="36"/>
    </row>
    <row r="42" spans="1:6" ht="12.75">
      <c r="A42" s="56"/>
      <c r="B42" s="48"/>
      <c r="C42" s="11"/>
      <c r="D42" s="11"/>
      <c r="E42" s="11"/>
      <c r="F42" s="11"/>
    </row>
    <row r="43" spans="1:11" ht="15.75">
      <c r="A43" s="47" t="s">
        <v>140</v>
      </c>
      <c r="B43" s="48">
        <v>11</v>
      </c>
      <c r="C43" s="27">
        <f>C45+C46+C47+C48+C49+C50</f>
        <v>620732</v>
      </c>
      <c r="D43" s="27">
        <f>D45+D46+D47+D48+D49+D50</f>
        <v>856170</v>
      </c>
      <c r="E43" s="27">
        <f>E45+E46+E47+E48+E49+E50</f>
        <v>871777</v>
      </c>
      <c r="F43" s="27">
        <f>F45+F46+F47+F48+F49+F50</f>
        <v>1234117</v>
      </c>
      <c r="K43" s="36"/>
    </row>
    <row r="44" spans="1:6" ht="12.75">
      <c r="A44" s="47" t="s">
        <v>71</v>
      </c>
      <c r="B44" s="48"/>
      <c r="C44" s="11"/>
      <c r="D44" s="11"/>
      <c r="E44" s="11"/>
      <c r="F44" s="11"/>
    </row>
    <row r="45" spans="1:6" ht="12.75">
      <c r="A45" s="47" t="s">
        <v>141</v>
      </c>
      <c r="B45" s="50" t="s">
        <v>142</v>
      </c>
      <c r="C45" s="11"/>
      <c r="D45" s="11">
        <f>'[1]4-5 кл'!C54</f>
        <v>0</v>
      </c>
      <c r="E45" s="11"/>
      <c r="F45" s="11"/>
    </row>
    <row r="46" spans="1:6" ht="12.75">
      <c r="A46" s="47" t="s">
        <v>143</v>
      </c>
      <c r="B46" s="50" t="s">
        <v>144</v>
      </c>
      <c r="C46" s="11">
        <f>D46-150811</f>
        <v>473037</v>
      </c>
      <c r="D46" s="11">
        <f>'[1]4-5 кл'!C28</f>
        <v>623848</v>
      </c>
      <c r="E46" s="11">
        <v>716657</v>
      </c>
      <c r="F46" s="11">
        <v>989016</v>
      </c>
    </row>
    <row r="47" spans="1:6" ht="12.75">
      <c r="A47" s="44" t="s">
        <v>145</v>
      </c>
      <c r="B47" s="50" t="s">
        <v>146</v>
      </c>
      <c r="C47" s="11"/>
      <c r="D47" s="11"/>
      <c r="E47" s="11"/>
      <c r="F47" s="11">
        <f>E47</f>
        <v>0</v>
      </c>
    </row>
    <row r="48" spans="1:6" ht="12.75">
      <c r="A48" s="47" t="s">
        <v>147</v>
      </c>
      <c r="B48" s="50" t="s">
        <v>148</v>
      </c>
      <c r="C48" s="11">
        <f>D48-84627</f>
        <v>77087</v>
      </c>
      <c r="D48" s="11">
        <f>'[1]4-5 кл'!C57</f>
        <v>161714</v>
      </c>
      <c r="E48" s="11">
        <v>69697</v>
      </c>
      <c r="F48" s="11">
        <v>159678</v>
      </c>
    </row>
    <row r="49" spans="1:6" ht="12.75">
      <c r="A49" s="47" t="s">
        <v>149</v>
      </c>
      <c r="B49" s="50" t="s">
        <v>150</v>
      </c>
      <c r="C49" s="11"/>
      <c r="D49" s="11">
        <f>'[1]4-5 кл'!C56</f>
        <v>0</v>
      </c>
      <c r="E49" s="11"/>
      <c r="F49" s="11"/>
    </row>
    <row r="50" spans="1:8" ht="16.5" customHeight="1">
      <c r="A50" s="15" t="s">
        <v>151</v>
      </c>
      <c r="B50" s="50" t="s">
        <v>152</v>
      </c>
      <c r="C50" s="27">
        <f>'[1]4-5 кл'!C32</f>
        <v>70608</v>
      </c>
      <c r="D50" s="27">
        <f>'[1]4-5 кл'!C36</f>
        <v>70608</v>
      </c>
      <c r="E50" s="27">
        <f>F50</f>
        <v>85423</v>
      </c>
      <c r="F50" s="27">
        <v>85423</v>
      </c>
      <c r="H50" s="36"/>
    </row>
    <row r="51" spans="1:6" ht="22.5" customHeight="1">
      <c r="A51" s="44" t="s">
        <v>153</v>
      </c>
      <c r="B51" s="8">
        <v>12</v>
      </c>
      <c r="C51" s="27">
        <f>D51-5226</f>
        <v>6100</v>
      </c>
      <c r="D51" s="27">
        <f>'[1]4-5 кл'!C93</f>
        <v>11326</v>
      </c>
      <c r="E51" s="27">
        <v>7686</v>
      </c>
      <c r="F51" s="27">
        <v>17162</v>
      </c>
    </row>
    <row r="52" spans="1:6" ht="12.75">
      <c r="A52" s="15" t="s">
        <v>18</v>
      </c>
      <c r="B52" s="8"/>
      <c r="C52" s="11"/>
      <c r="D52" s="11"/>
      <c r="E52" s="11"/>
      <c r="F52" s="11"/>
    </row>
    <row r="53" spans="1:6" ht="12.75">
      <c r="A53" s="44" t="s">
        <v>154</v>
      </c>
      <c r="B53" s="50" t="s">
        <v>155</v>
      </c>
      <c r="C53" s="11"/>
      <c r="D53" s="11"/>
      <c r="E53" s="11"/>
      <c r="F53" s="11"/>
    </row>
    <row r="54" spans="1:6" ht="12.75">
      <c r="A54" s="44" t="s">
        <v>156</v>
      </c>
      <c r="B54" s="50" t="s">
        <v>157</v>
      </c>
      <c r="C54" s="11"/>
      <c r="D54" s="11"/>
      <c r="E54" s="11"/>
      <c r="F54" s="11"/>
    </row>
    <row r="55" spans="1:6" ht="25.5">
      <c r="A55" s="44" t="s">
        <v>158</v>
      </c>
      <c r="B55" s="8">
        <v>13</v>
      </c>
      <c r="C55" s="27">
        <f>C57+C58+C59+C60+C61</f>
        <v>0</v>
      </c>
      <c r="D55" s="27">
        <f>D57+D58+D59+D60+D61</f>
        <v>0</v>
      </c>
      <c r="E55" s="27"/>
      <c r="F55" s="27"/>
    </row>
    <row r="56" spans="1:6" ht="12.75">
      <c r="A56" s="15" t="s">
        <v>18</v>
      </c>
      <c r="B56" s="43"/>
      <c r="C56" s="11"/>
      <c r="D56" s="11"/>
      <c r="E56" s="11"/>
      <c r="F56" s="11"/>
    </row>
    <row r="57" spans="1:6" ht="12.75">
      <c r="A57" s="44" t="s">
        <v>159</v>
      </c>
      <c r="B57" s="50" t="s">
        <v>160</v>
      </c>
      <c r="C57" s="11"/>
      <c r="D57" s="11"/>
      <c r="E57" s="11"/>
      <c r="F57" s="11"/>
    </row>
    <row r="58" spans="1:6" ht="12.75">
      <c r="A58" s="44" t="s">
        <v>161</v>
      </c>
      <c r="B58" s="50" t="s">
        <v>162</v>
      </c>
      <c r="C58" s="11"/>
      <c r="D58" s="11"/>
      <c r="E58" s="11"/>
      <c r="F58" s="11"/>
    </row>
    <row r="59" spans="1:6" ht="12.75">
      <c r="A59" s="44" t="s">
        <v>163</v>
      </c>
      <c r="B59" s="50" t="s">
        <v>164</v>
      </c>
      <c r="C59" s="11"/>
      <c r="D59" s="11"/>
      <c r="E59" s="11"/>
      <c r="F59" s="11"/>
    </row>
    <row r="60" spans="1:6" ht="12.75">
      <c r="A60" s="44" t="s">
        <v>165</v>
      </c>
      <c r="B60" s="50" t="s">
        <v>166</v>
      </c>
      <c r="C60" s="11"/>
      <c r="D60" s="11"/>
      <c r="E60" s="11"/>
      <c r="F60" s="11"/>
    </row>
    <row r="61" spans="1:6" ht="12.75">
      <c r="A61" s="44" t="s">
        <v>167</v>
      </c>
      <c r="B61" s="50" t="s">
        <v>168</v>
      </c>
      <c r="C61" s="11"/>
      <c r="D61" s="11"/>
      <c r="E61" s="11"/>
      <c r="F61" s="11"/>
    </row>
    <row r="62" spans="1:6" ht="12.75">
      <c r="A62" s="44" t="s">
        <v>169</v>
      </c>
      <c r="B62" s="8">
        <v>14</v>
      </c>
      <c r="C62" s="27">
        <f>C64+C65+C66+C67</f>
        <v>246391</v>
      </c>
      <c r="D62" s="27">
        <f>D64+D65+D66+D67</f>
        <v>485089</v>
      </c>
      <c r="E62" s="27">
        <f>E64+E65+E66+E67</f>
        <v>268918</v>
      </c>
      <c r="F62" s="27">
        <f>F64+F65+F66+F67</f>
        <v>510608</v>
      </c>
    </row>
    <row r="63" spans="1:6" ht="12.75">
      <c r="A63" s="15" t="s">
        <v>18</v>
      </c>
      <c r="B63" s="8"/>
      <c r="C63" s="11"/>
      <c r="D63" s="11"/>
      <c r="E63" s="11"/>
      <c r="F63" s="11"/>
    </row>
    <row r="64" spans="1:6" ht="12.75">
      <c r="A64" s="44" t="s">
        <v>170</v>
      </c>
      <c r="B64" s="57" t="s">
        <v>171</v>
      </c>
      <c r="C64" s="11">
        <f>D64-174243</f>
        <v>172321</v>
      </c>
      <c r="D64" s="11">
        <f>'[1]4-5 кл'!C110+'[1]4-5 кл'!C128</f>
        <v>346564</v>
      </c>
      <c r="E64" s="11">
        <v>182991</v>
      </c>
      <c r="F64" s="11">
        <v>360313</v>
      </c>
    </row>
    <row r="65" spans="1:6" ht="12.75">
      <c r="A65" s="44" t="s">
        <v>172</v>
      </c>
      <c r="B65" s="57" t="s">
        <v>173</v>
      </c>
      <c r="C65" s="11">
        <f>D65-5934</f>
        <v>4979</v>
      </c>
      <c r="D65" s="11">
        <f>'[1]4-5 кл'!C140</f>
        <v>10913</v>
      </c>
      <c r="E65" s="11">
        <v>7707</v>
      </c>
      <c r="F65" s="11">
        <v>15012</v>
      </c>
    </row>
    <row r="66" spans="1:6" ht="12.75">
      <c r="A66" s="44" t="s">
        <v>174</v>
      </c>
      <c r="B66" s="57" t="s">
        <v>175</v>
      </c>
      <c r="C66" s="11">
        <f>D66-29628</f>
        <v>31006</v>
      </c>
      <c r="D66" s="11">
        <f>'[1]4-5 кл'!C119-'[1]4-5 кл'!C128</f>
        <v>60634</v>
      </c>
      <c r="E66" s="11">
        <v>43003</v>
      </c>
      <c r="F66" s="11">
        <v>74924</v>
      </c>
    </row>
    <row r="67" spans="1:6" ht="25.5">
      <c r="A67" s="15" t="s">
        <v>176</v>
      </c>
      <c r="B67" s="57" t="s">
        <v>177</v>
      </c>
      <c r="C67" s="17">
        <f>D67-28893</f>
        <v>38085</v>
      </c>
      <c r="D67" s="17">
        <f>'[1]4-5 кл'!C132</f>
        <v>66978</v>
      </c>
      <c r="E67" s="11">
        <v>35217</v>
      </c>
      <c r="F67" s="11">
        <v>60359</v>
      </c>
    </row>
    <row r="68" spans="1:6" ht="12.75">
      <c r="A68" s="44" t="s">
        <v>178</v>
      </c>
      <c r="B68" s="8">
        <v>15</v>
      </c>
      <c r="C68" s="27">
        <f>D68-346873</f>
        <v>405554</v>
      </c>
      <c r="D68" s="27">
        <f>'[1]4-5 кл'!C149</f>
        <v>752427</v>
      </c>
      <c r="E68" s="27">
        <v>560558</v>
      </c>
      <c r="F68" s="27">
        <v>1099316</v>
      </c>
    </row>
    <row r="69" spans="1:6" ht="12.75">
      <c r="A69" s="44" t="s">
        <v>179</v>
      </c>
      <c r="B69" s="8">
        <v>16</v>
      </c>
      <c r="C69" s="27">
        <f>D69-82967</f>
        <v>79553</v>
      </c>
      <c r="D69" s="27">
        <f>'[1]4-5 кл'!C165+'[1]4-5 кл'!C166</f>
        <v>162520</v>
      </c>
      <c r="E69" s="27">
        <v>96695</v>
      </c>
      <c r="F69" s="27">
        <v>171929</v>
      </c>
    </row>
    <row r="70" spans="1:9" ht="18.75" customHeight="1">
      <c r="A70" s="26" t="s">
        <v>180</v>
      </c>
      <c r="B70" s="8">
        <v>17</v>
      </c>
      <c r="C70" s="27">
        <f>C43+C51+C55+C62+C68+C69</f>
        <v>1358330</v>
      </c>
      <c r="D70" s="27">
        <f>D43+D51+D55+D62+D68+D69</f>
        <v>2267532</v>
      </c>
      <c r="E70" s="27">
        <f>E43+E51+E55+E62+E68+E69</f>
        <v>1805634</v>
      </c>
      <c r="F70" s="27">
        <f>F43+F51+F55+F62+F68+F69</f>
        <v>3033132</v>
      </c>
      <c r="I70" s="36"/>
    </row>
    <row r="71" spans="1:7" ht="18.75" customHeight="1">
      <c r="A71" s="26"/>
      <c r="B71" s="8"/>
      <c r="C71" s="27"/>
      <c r="D71" s="27"/>
      <c r="E71" s="27"/>
      <c r="F71" s="27"/>
      <c r="G71" s="31"/>
    </row>
    <row r="72" spans="1:6" ht="25.5">
      <c r="A72" s="15" t="s">
        <v>181</v>
      </c>
      <c r="B72" s="58" t="s">
        <v>182</v>
      </c>
      <c r="C72" s="11">
        <f>C41-C70</f>
        <v>29306</v>
      </c>
      <c r="D72" s="11">
        <f>D41-D70</f>
        <v>123792</v>
      </c>
      <c r="E72" s="11">
        <f>E41-E70</f>
        <v>207919</v>
      </c>
      <c r="F72" s="11">
        <f>F41-F70</f>
        <v>337006</v>
      </c>
    </row>
    <row r="73" spans="1:7" ht="25.5">
      <c r="A73" s="30" t="s">
        <v>183</v>
      </c>
      <c r="B73" s="58" t="s">
        <v>184</v>
      </c>
      <c r="C73" s="11">
        <v>-232389</v>
      </c>
      <c r="D73" s="11">
        <f>'[1]4-5 кл'!C71-'[1]4-5 кл'!G161-'[1]4-5 кл'!G162-'[1]4-5 кл'!G163-'[1]4-5 кл'!G164-'[1]4-5 кл'!G165-'[1]4-5 кл'!G166-'[1]4-5 кл'!G167-'[1]4-5 кл'!G168-'[1]4-5 кл'!G169-'[1]4-5 кл'!G170</f>
        <v>-328146</v>
      </c>
      <c r="E73" s="11">
        <v>117918</v>
      </c>
      <c r="F73" s="11">
        <v>166777</v>
      </c>
      <c r="G73" s="14"/>
    </row>
    <row r="74" spans="1:7" ht="12.75">
      <c r="A74" s="15" t="s">
        <v>18</v>
      </c>
      <c r="B74" s="58"/>
      <c r="C74" s="11"/>
      <c r="D74" s="11"/>
      <c r="E74" s="11"/>
      <c r="F74" s="11"/>
      <c r="G74" s="31"/>
    </row>
    <row r="75" spans="1:7" ht="25.5">
      <c r="A75" s="15" t="s">
        <v>185</v>
      </c>
      <c r="B75" s="57" t="s">
        <v>186</v>
      </c>
      <c r="C75" s="11"/>
      <c r="D75" s="11"/>
      <c r="E75" s="11"/>
      <c r="F75" s="11"/>
      <c r="G75" s="31"/>
    </row>
    <row r="76" spans="1:7" ht="18.75" customHeight="1">
      <c r="A76" s="15"/>
      <c r="B76" s="57"/>
      <c r="C76" s="11"/>
      <c r="D76" s="11"/>
      <c r="E76" s="11"/>
      <c r="F76" s="11"/>
      <c r="G76" s="31"/>
    </row>
    <row r="77" spans="1:6" ht="25.5">
      <c r="A77" s="59" t="s">
        <v>187</v>
      </c>
      <c r="B77" s="8">
        <v>20</v>
      </c>
      <c r="C77" s="27">
        <f>C72-C73</f>
        <v>261695</v>
      </c>
      <c r="D77" s="27">
        <f>D72-D73</f>
        <v>451938</v>
      </c>
      <c r="E77" s="27">
        <f>E72-E73</f>
        <v>90001</v>
      </c>
      <c r="F77" s="27">
        <f>F72-F73</f>
        <v>170229</v>
      </c>
    </row>
    <row r="78" spans="1:6" ht="12.75">
      <c r="A78" s="44"/>
      <c r="B78" s="8"/>
      <c r="C78" s="11"/>
      <c r="D78" s="11"/>
      <c r="E78" s="11"/>
      <c r="F78" s="11"/>
    </row>
    <row r="79" spans="1:6" ht="12.75">
      <c r="A79" s="44" t="s">
        <v>188</v>
      </c>
      <c r="B79" s="8">
        <v>21</v>
      </c>
      <c r="C79" s="27">
        <f>D79-113031</f>
        <v>103307</v>
      </c>
      <c r="D79" s="27">
        <f>'[1]4-5 кл'!C173</f>
        <v>216338</v>
      </c>
      <c r="E79" s="27">
        <v>74489</v>
      </c>
      <c r="F79" s="27">
        <v>137317</v>
      </c>
    </row>
    <row r="80" spans="1:6" ht="12.75">
      <c r="A80" s="44"/>
      <c r="B80" s="8"/>
      <c r="C80" s="11"/>
      <c r="D80" s="11"/>
      <c r="E80" s="11"/>
      <c r="F80" s="11"/>
    </row>
    <row r="81" spans="1:6" ht="25.5">
      <c r="A81" s="60" t="s">
        <v>189</v>
      </c>
      <c r="B81" s="8">
        <v>22</v>
      </c>
      <c r="C81" s="27">
        <f>C77-C79</f>
        <v>158388</v>
      </c>
      <c r="D81" s="27">
        <f>D77-D79</f>
        <v>235600</v>
      </c>
      <c r="E81" s="27">
        <f>E77-E79</f>
        <v>15512</v>
      </c>
      <c r="F81" s="27">
        <f>F77-F79</f>
        <v>32912</v>
      </c>
    </row>
    <row r="82" spans="1:6" ht="12.75">
      <c r="A82" s="44" t="s">
        <v>190</v>
      </c>
      <c r="B82" s="8">
        <v>23</v>
      </c>
      <c r="C82" s="27"/>
      <c r="D82" s="27"/>
      <c r="E82" s="27"/>
      <c r="F82" s="27"/>
    </row>
    <row r="83" spans="1:6" ht="12.75">
      <c r="A83" s="44"/>
      <c r="B83" s="8"/>
      <c r="C83" s="11"/>
      <c r="D83" s="11"/>
      <c r="E83" s="11"/>
      <c r="F83" s="11"/>
    </row>
    <row r="84" spans="1:6" ht="12.75">
      <c r="A84" s="44" t="s">
        <v>76</v>
      </c>
      <c r="B84" s="8">
        <v>24</v>
      </c>
      <c r="C84" s="27"/>
      <c r="D84" s="27"/>
      <c r="E84" s="27"/>
      <c r="F84" s="27"/>
    </row>
    <row r="85" spans="1:6" ht="12.75">
      <c r="A85" s="44"/>
      <c r="B85" s="8"/>
      <c r="C85" s="11"/>
      <c r="D85" s="11"/>
      <c r="E85" s="11"/>
      <c r="F85" s="11"/>
    </row>
    <row r="86" spans="1:6" ht="12.75">
      <c r="A86" s="60" t="s">
        <v>191</v>
      </c>
      <c r="B86" s="8">
        <v>25</v>
      </c>
      <c r="C86" s="61">
        <f>C81+C82-C84</f>
        <v>158388</v>
      </c>
      <c r="D86" s="61">
        <f>D81+D82-D84</f>
        <v>235600</v>
      </c>
      <c r="E86" s="61">
        <f>E81+E82-E84</f>
        <v>15512</v>
      </c>
      <c r="F86" s="61">
        <f>F81+F82-F84</f>
        <v>32912</v>
      </c>
    </row>
    <row r="87" ht="12.75">
      <c r="D87" s="31"/>
    </row>
    <row r="88" ht="12.75">
      <c r="A88" s="1" t="s">
        <v>192</v>
      </c>
    </row>
    <row r="90" spans="1:4" ht="12.75">
      <c r="A90" s="39" t="s">
        <v>81</v>
      </c>
      <c r="D90" s="1" t="s">
        <v>82</v>
      </c>
    </row>
    <row r="91" ht="12.75">
      <c r="A91" s="39"/>
    </row>
    <row r="92" spans="1:4" ht="12.75">
      <c r="A92" s="40" t="s">
        <v>83</v>
      </c>
      <c r="D92" s="1" t="s">
        <v>82</v>
      </c>
    </row>
    <row r="93" ht="12.75">
      <c r="A93" s="39"/>
    </row>
    <row r="94" spans="1:4" ht="12.75">
      <c r="A94" s="39" t="s">
        <v>84</v>
      </c>
      <c r="D94" s="1" t="s">
        <v>82</v>
      </c>
    </row>
    <row r="95" ht="12.75">
      <c r="A95" s="39"/>
    </row>
    <row r="96" ht="12.75">
      <c r="A96" s="1" t="s">
        <v>193</v>
      </c>
    </row>
    <row r="98" ht="12.75">
      <c r="A98" s="39" t="s">
        <v>86</v>
      </c>
    </row>
    <row r="99" ht="12.75">
      <c r="A99" s="39"/>
    </row>
    <row r="100" ht="12.75">
      <c r="A100" s="39"/>
    </row>
    <row r="101" ht="12.75">
      <c r="A101" s="39"/>
    </row>
  </sheetData>
  <sheetProtection/>
  <mergeCells count="5">
    <mergeCell ref="E1:F1"/>
    <mergeCell ref="A3:F3"/>
    <mergeCell ref="A4:F4"/>
    <mergeCell ref="A5:F5"/>
    <mergeCell ref="A6:F6"/>
  </mergeCells>
  <printOptions/>
  <pageMargins left="1.141732283464567" right="0.7086614173228347" top="0.3937007874015748" bottom="0.2755905511811024" header="0.31496062992125984" footer="0.1574803149606299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49">
      <selection activeCell="B69" sqref="B69"/>
    </sheetView>
  </sheetViews>
  <sheetFormatPr defaultColWidth="9.140625" defaultRowHeight="15"/>
  <cols>
    <col min="1" max="1" width="58.57421875" style="62" customWidth="1"/>
    <col min="2" max="2" width="9.140625" style="62" customWidth="1"/>
    <col min="3" max="3" width="15.57421875" style="62" customWidth="1"/>
    <col min="4" max="4" width="15.140625" style="62" customWidth="1"/>
    <col min="5" max="24" width="9.140625" style="62" customWidth="1"/>
    <col min="25" max="16384" width="9.140625" style="63" customWidth="1"/>
  </cols>
  <sheetData>
    <row r="1" spans="3:4" ht="11.25">
      <c r="C1" s="141"/>
      <c r="D1" s="142"/>
    </row>
    <row r="2" spans="1:4" ht="11.25">
      <c r="A2" s="141" t="s">
        <v>194</v>
      </c>
      <c r="B2" s="141"/>
      <c r="C2" s="141"/>
      <c r="D2" s="141"/>
    </row>
    <row r="3" spans="1:4" ht="11.25">
      <c r="A3" s="64"/>
      <c r="B3" s="64"/>
      <c r="C3" s="64"/>
      <c r="D3" s="64"/>
    </row>
    <row r="4" spans="1:4" ht="11.25">
      <c r="A4" s="143" t="str">
        <f>'[1]1-3 кл'!A2:G2</f>
        <v>Акционерное общество  "БТА Ипотека"</v>
      </c>
      <c r="B4" s="141"/>
      <c r="C4" s="141"/>
      <c r="D4" s="141"/>
    </row>
    <row r="5" spans="1:4" ht="11.25">
      <c r="A5" s="142" t="s">
        <v>195</v>
      </c>
      <c r="B5" s="142"/>
      <c r="C5" s="142"/>
      <c r="D5" s="142"/>
    </row>
    <row r="6" spans="1:4" ht="11.25">
      <c r="A6" s="141" t="str">
        <f>'[1]1-3 кл'!A5:G5</f>
        <v> по состоянию на 01  июля 2015</v>
      </c>
      <c r="B6" s="141"/>
      <c r="C6" s="141"/>
      <c r="D6" s="141"/>
    </row>
    <row r="7" spans="1:24" s="66" customFormat="1" ht="11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s="66" customFormat="1" ht="12" thickBot="1">
      <c r="A8" s="65"/>
      <c r="B8" s="65"/>
      <c r="C8" s="65"/>
      <c r="D8" s="67" t="s">
        <v>4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4" ht="53.25" thickBot="1">
      <c r="A9" s="68" t="s">
        <v>5</v>
      </c>
      <c r="B9" s="69" t="s">
        <v>196</v>
      </c>
      <c r="C9" s="70" t="s">
        <v>197</v>
      </c>
      <c r="D9" s="71" t="s">
        <v>94</v>
      </c>
    </row>
    <row r="10" spans="1:4" ht="11.25">
      <c r="A10" s="72">
        <v>1</v>
      </c>
      <c r="B10" s="73">
        <v>2</v>
      </c>
      <c r="C10" s="73">
        <v>3</v>
      </c>
      <c r="D10" s="74">
        <v>4</v>
      </c>
    </row>
    <row r="11" spans="1:4" ht="11.25">
      <c r="A11" s="75" t="s">
        <v>198</v>
      </c>
      <c r="B11" s="76" t="s">
        <v>199</v>
      </c>
      <c r="C11" s="77">
        <f>'[1]ф2кварт'!D77</f>
        <v>451938</v>
      </c>
      <c r="D11" s="78">
        <f>'[1]ф2кварт'!F77</f>
        <v>170229</v>
      </c>
    </row>
    <row r="12" spans="1:4" ht="11.25">
      <c r="A12" s="75" t="s">
        <v>200</v>
      </c>
      <c r="B12" s="76">
        <v>2</v>
      </c>
      <c r="C12" s="79">
        <f>SUM(C13:C18)</f>
        <v>-349703</v>
      </c>
      <c r="D12" s="80">
        <f>SUM(D13:D18)</f>
        <v>199823</v>
      </c>
    </row>
    <row r="13" spans="1:4" ht="11.25">
      <c r="A13" s="81" t="s">
        <v>201</v>
      </c>
      <c r="B13" s="82">
        <v>3</v>
      </c>
      <c r="C13" s="83">
        <f>'[1]ф2кварт'!D65</f>
        <v>10913</v>
      </c>
      <c r="D13" s="84">
        <f>'[1]ф2кварт'!F65</f>
        <v>15012</v>
      </c>
    </row>
    <row r="14" spans="1:4" ht="11.25">
      <c r="A14" s="85" t="s">
        <v>202</v>
      </c>
      <c r="B14" s="82">
        <v>4</v>
      </c>
      <c r="C14" s="83">
        <f>'[1]ф2кварт'!D73</f>
        <v>-328146</v>
      </c>
      <c r="D14" s="84">
        <f>'[1]ф2кварт'!F73</f>
        <v>166777</v>
      </c>
    </row>
    <row r="15" spans="1:4" ht="11.25">
      <c r="A15" s="85" t="s">
        <v>203</v>
      </c>
      <c r="B15" s="82">
        <v>5</v>
      </c>
      <c r="C15" s="83">
        <f>-'[1]ф2кварт'!D36</f>
        <v>-16118</v>
      </c>
      <c r="D15" s="84">
        <f>-'[1]ф2кварт'!F36</f>
        <v>-37569</v>
      </c>
    </row>
    <row r="16" spans="1:4" ht="11.25">
      <c r="A16" s="85" t="s">
        <v>204</v>
      </c>
      <c r="B16" s="82">
        <v>6</v>
      </c>
      <c r="C16" s="83">
        <f>('[1]1-3 кл'!C187+'[1]1-3 кл'!C188)-('[2]1-3 кл'!$C$187+'[2]1-3 кл'!$C$188)</f>
        <v>-1199</v>
      </c>
      <c r="D16" s="84">
        <f>('[3]1-3 кл'!$C$187+'[3]1-3 кл'!$C$188)-('[4]1-3 кл'!$C$187+'[4]1-3 кл'!$C$188)</f>
        <v>-27111</v>
      </c>
    </row>
    <row r="17" spans="1:4" ht="11.25">
      <c r="A17" s="85" t="s">
        <v>205</v>
      </c>
      <c r="B17" s="82">
        <v>7</v>
      </c>
      <c r="C17" s="83">
        <f>'[1]1-3 кл'!G72-'[2]1-3 кл'!$G$72</f>
        <v>-15002</v>
      </c>
      <c r="D17" s="84">
        <f>'[3]1-3 кл'!$G$72-'[4]1-3 кл'!$G$72</f>
        <v>83008</v>
      </c>
    </row>
    <row r="18" spans="1:4" ht="11.25">
      <c r="A18" s="85" t="s">
        <v>206</v>
      </c>
      <c r="B18" s="82">
        <v>8</v>
      </c>
      <c r="C18" s="83">
        <f>'[1]4-5 кл'!C151-'[1]4-5 кл'!G143</f>
        <v>-151</v>
      </c>
      <c r="D18" s="84">
        <f>'[3]4-5 кл'!$C$151-'[3]4-5 кл'!$G$143</f>
        <v>-294</v>
      </c>
    </row>
    <row r="19" spans="1:4" ht="21">
      <c r="A19" s="75" t="s">
        <v>207</v>
      </c>
      <c r="B19" s="76" t="s">
        <v>208</v>
      </c>
      <c r="C19" s="86">
        <f>C11+C12</f>
        <v>102235</v>
      </c>
      <c r="D19" s="87">
        <f>D11+D12</f>
        <v>370052</v>
      </c>
    </row>
    <row r="20" spans="1:4" ht="11.25">
      <c r="A20" s="75" t="s">
        <v>209</v>
      </c>
      <c r="B20" s="76" t="s">
        <v>210</v>
      </c>
      <c r="C20" s="79">
        <f>SUM(C21:C26)</f>
        <v>9139740</v>
      </c>
      <c r="D20" s="80">
        <f>SUM(D21:D26)</f>
        <v>1116202</v>
      </c>
    </row>
    <row r="21" spans="1:4" ht="22.5">
      <c r="A21" s="81" t="s">
        <v>211</v>
      </c>
      <c r="B21" s="82">
        <v>11</v>
      </c>
      <c r="C21" s="83"/>
      <c r="D21" s="84"/>
    </row>
    <row r="22" spans="1:4" ht="22.5">
      <c r="A22" s="81" t="s">
        <v>212</v>
      </c>
      <c r="B22" s="82">
        <v>12</v>
      </c>
      <c r="C22" s="88"/>
      <c r="D22" s="89">
        <f>-('[3]ф1кварт'!$C$13-'[3]ф1кварт'!$D$13)</f>
        <v>52</v>
      </c>
    </row>
    <row r="23" spans="1:4" ht="22.5">
      <c r="A23" s="85" t="s">
        <v>213</v>
      </c>
      <c r="B23" s="82">
        <v>13</v>
      </c>
      <c r="C23" s="83">
        <f>-('[1]ф1кварт'!C23-'[1]ф1кварт'!D23)</f>
        <v>529949</v>
      </c>
      <c r="D23" s="84">
        <f>-('[3]ф1кварт'!$C$23-'[3]ф1кварт'!$D$23)</f>
        <v>-1302050</v>
      </c>
    </row>
    <row r="24" spans="1:4" ht="11.25">
      <c r="A24" s="85" t="s">
        <v>214</v>
      </c>
      <c r="B24" s="82">
        <v>14</v>
      </c>
      <c r="C24" s="83">
        <f>-('[1]ф1кварт'!C25-'[1]ф1кварт'!D25)-C14-C16-C15</f>
        <v>8239082</v>
      </c>
      <c r="D24" s="84">
        <f>-('[3]ф1кварт'!$C$25-'[3]ф1кварт'!$D$25)-D14-D16-D15</f>
        <v>1798720</v>
      </c>
    </row>
    <row r="25" spans="1:4" ht="11.25">
      <c r="A25" s="85" t="s">
        <v>215</v>
      </c>
      <c r="B25" s="82">
        <v>15</v>
      </c>
      <c r="C25" s="83">
        <f>-('[1]ф1кварт'!C34-'[1]ф1кварт'!D34)</f>
        <v>-149252</v>
      </c>
      <c r="D25" s="84">
        <f>-('[3]ф1кварт'!$C$34-'[3]ф1кварт'!$D$34)</f>
        <v>-98036</v>
      </c>
    </row>
    <row r="26" spans="1:4" ht="11.25">
      <c r="A26" s="85" t="s">
        <v>216</v>
      </c>
      <c r="B26" s="82">
        <v>16</v>
      </c>
      <c r="C26" s="83">
        <f>-('[1]ф1кварт'!C16-'[1]ф1кварт'!D16+'[1]ф1кварт'!C28-'[1]ф1кварт'!D28+'[1]ф1кварт'!C35-'[1]ф1кварт'!D35+'[1]ф1кварт'!C32-'[1]ф1кварт'!D32)+4</f>
        <v>519961</v>
      </c>
      <c r="D26" s="84">
        <f>-'[3]ф1кварт'!$G$36-11304</f>
        <v>717516</v>
      </c>
    </row>
    <row r="27" spans="1:4" ht="11.25">
      <c r="A27" s="75" t="s">
        <v>217</v>
      </c>
      <c r="B27" s="76" t="s">
        <v>218</v>
      </c>
      <c r="C27" s="79">
        <f>SUM(C28:C34)</f>
        <v>-8698290</v>
      </c>
      <c r="D27" s="80">
        <f>SUM(D28:D34)</f>
        <v>-997420</v>
      </c>
    </row>
    <row r="28" spans="1:4" ht="22.5">
      <c r="A28" s="81" t="s">
        <v>219</v>
      </c>
      <c r="B28" s="82">
        <v>18</v>
      </c>
      <c r="C28" s="83"/>
      <c r="D28" s="84"/>
    </row>
    <row r="29" spans="1:4" ht="22.5">
      <c r="A29" s="85" t="s">
        <v>220</v>
      </c>
      <c r="B29" s="82">
        <v>19</v>
      </c>
      <c r="C29" s="83"/>
      <c r="D29" s="84"/>
    </row>
    <row r="30" spans="1:4" ht="22.5">
      <c r="A30" s="85" t="s">
        <v>221</v>
      </c>
      <c r="B30" s="82">
        <v>20</v>
      </c>
      <c r="C30" s="83"/>
      <c r="D30" s="84"/>
    </row>
    <row r="31" spans="1:4" ht="22.5">
      <c r="A31" s="85" t="s">
        <v>222</v>
      </c>
      <c r="B31" s="82">
        <v>21</v>
      </c>
      <c r="C31" s="83">
        <f>'[1]ф1кварт'!C44-'[1]ф1кварт'!D44-C17</f>
        <v>-7776301</v>
      </c>
      <c r="D31" s="84">
        <f>-('[3]ф1кварт'!$D$44-'[3]ф1кварт'!$D$44)-D17</f>
        <v>-83008</v>
      </c>
    </row>
    <row r="32" spans="1:4" ht="11.25">
      <c r="A32" s="81" t="s">
        <v>223</v>
      </c>
      <c r="B32" s="82">
        <v>22</v>
      </c>
      <c r="C32" s="83">
        <f>'[1]ф1кварт'!C42-'[1]ф1кварт'!D42</f>
        <v>-858961</v>
      </c>
      <c r="D32" s="84">
        <f>'[3]ф1кварт'!$C$42-'[3]ф1кварт'!$D$42</f>
        <v>-822136</v>
      </c>
    </row>
    <row r="33" spans="1:4" ht="11.25">
      <c r="A33" s="85" t="s">
        <v>224</v>
      </c>
      <c r="B33" s="82">
        <v>23</v>
      </c>
      <c r="C33" s="83">
        <f>'[1]ф1кварт'!C51-'[1]ф1кварт'!D51</f>
        <v>-1014</v>
      </c>
      <c r="D33" s="84">
        <f>'[3]ф1кварт'!$C$51-'[3]ф1кварт'!$D$51</f>
        <v>-26363</v>
      </c>
    </row>
    <row r="34" spans="1:4" ht="11.25">
      <c r="A34" s="90" t="s">
        <v>225</v>
      </c>
      <c r="B34" s="82">
        <v>24</v>
      </c>
      <c r="C34" s="83">
        <f>'[1]ф1кварт'!C45-'[1]ф1кварт'!D45+'[1]ф1кварт'!C53-'[1]ф1кварт'!D53</f>
        <v>-62014</v>
      </c>
      <c r="D34" s="84">
        <f>('[3]ф1кварт'!$C$41-'[3]ф1кварт'!$D$41)+('[3]ф1кварт'!$C$45-'[3]ф1кварт'!$D$45)+('[3]ф1кварт'!$C$53-'[3]ф1кварт'!$D$53)</f>
        <v>-65913</v>
      </c>
    </row>
    <row r="35" spans="1:4" ht="11.25">
      <c r="A35" s="75" t="s">
        <v>226</v>
      </c>
      <c r="B35" s="76" t="s">
        <v>227</v>
      </c>
      <c r="C35" s="79">
        <f>C20+C27-1</f>
        <v>441449</v>
      </c>
      <c r="D35" s="80">
        <f>D20+D27</f>
        <v>118782</v>
      </c>
    </row>
    <row r="36" spans="1:4" ht="11.25">
      <c r="A36" s="81" t="s">
        <v>228</v>
      </c>
      <c r="B36" s="82">
        <v>26</v>
      </c>
      <c r="C36" s="83">
        <f>'[1]ф2кварт'!D79</f>
        <v>216338</v>
      </c>
      <c r="D36" s="84">
        <f>'[3]ф2кварт'!$D$79</f>
        <v>137317</v>
      </c>
    </row>
    <row r="37" spans="1:4" ht="21">
      <c r="A37" s="75" t="s">
        <v>229</v>
      </c>
      <c r="B37" s="76" t="s">
        <v>230</v>
      </c>
      <c r="C37" s="86">
        <f>C35-C36</f>
        <v>225111</v>
      </c>
      <c r="D37" s="87">
        <f>D35-D36</f>
        <v>-18535</v>
      </c>
    </row>
    <row r="38" spans="1:4" ht="11.25">
      <c r="A38" s="85" t="s">
        <v>231</v>
      </c>
      <c r="B38" s="82" t="s">
        <v>232</v>
      </c>
      <c r="C38" s="83"/>
      <c r="D38" s="84"/>
    </row>
    <row r="39" spans="1:4" ht="11.25">
      <c r="A39" s="85" t="s">
        <v>233</v>
      </c>
      <c r="B39" s="82">
        <v>29</v>
      </c>
      <c r="C39" s="83"/>
      <c r="D39" s="84"/>
    </row>
    <row r="40" spans="1:4" ht="11.25">
      <c r="A40" s="85" t="s">
        <v>234</v>
      </c>
      <c r="B40" s="82">
        <v>30</v>
      </c>
      <c r="C40" s="83"/>
      <c r="D40" s="84"/>
    </row>
    <row r="41" spans="1:4" ht="11.25">
      <c r="A41" s="85" t="s">
        <v>235</v>
      </c>
      <c r="B41" s="82">
        <v>31</v>
      </c>
      <c r="C41" s="83">
        <v>-1798</v>
      </c>
      <c r="D41" s="84">
        <v>-1681</v>
      </c>
    </row>
    <row r="42" spans="1:4" ht="11.25">
      <c r="A42" s="85" t="s">
        <v>236</v>
      </c>
      <c r="B42" s="82">
        <v>32</v>
      </c>
      <c r="C42" s="83">
        <f>'[1]4-5 кл'!G143</f>
        <v>386</v>
      </c>
      <c r="D42" s="84">
        <v>34</v>
      </c>
    </row>
    <row r="43" spans="1:4" ht="11.25">
      <c r="A43" s="85" t="s">
        <v>237</v>
      </c>
      <c r="B43" s="82">
        <v>33</v>
      </c>
      <c r="C43" s="88"/>
      <c r="D43" s="89"/>
    </row>
    <row r="44" spans="1:4" ht="11.25">
      <c r="A44" s="85" t="s">
        <v>238</v>
      </c>
      <c r="B44" s="82">
        <v>34</v>
      </c>
      <c r="C44" s="83"/>
      <c r="D44" s="84"/>
    </row>
    <row r="45" spans="1:4" ht="21">
      <c r="A45" s="75" t="s">
        <v>239</v>
      </c>
      <c r="B45" s="76" t="s">
        <v>240</v>
      </c>
      <c r="C45" s="86">
        <f>C39+C40+C41+C42+C43+C44</f>
        <v>-1412</v>
      </c>
      <c r="D45" s="87">
        <f>D39+D40+D41+D42+D43+D44</f>
        <v>-1647</v>
      </c>
    </row>
    <row r="46" spans="1:4" ht="11.25">
      <c r="A46" s="85" t="s">
        <v>241</v>
      </c>
      <c r="B46" s="82" t="s">
        <v>242</v>
      </c>
      <c r="C46" s="88"/>
      <c r="D46" s="91"/>
    </row>
    <row r="47" spans="1:4" ht="11.25">
      <c r="A47" s="90" t="s">
        <v>243</v>
      </c>
      <c r="B47" s="82">
        <v>37</v>
      </c>
      <c r="C47" s="83"/>
      <c r="D47" s="84"/>
    </row>
    <row r="48" spans="1:4" ht="11.25">
      <c r="A48" s="90" t="s">
        <v>244</v>
      </c>
      <c r="B48" s="82">
        <v>38</v>
      </c>
      <c r="C48" s="83"/>
      <c r="D48" s="84"/>
    </row>
    <row r="49" spans="1:4" ht="11.25">
      <c r="A49" s="90" t="s">
        <v>245</v>
      </c>
      <c r="B49" s="82">
        <v>39</v>
      </c>
      <c r="C49" s="83"/>
      <c r="D49" s="84"/>
    </row>
    <row r="50" spans="1:4" ht="11.25">
      <c r="A50" s="85" t="s">
        <v>246</v>
      </c>
      <c r="B50" s="82">
        <v>40</v>
      </c>
      <c r="C50" s="83"/>
      <c r="D50" s="84"/>
    </row>
    <row r="51" spans="1:4" ht="11.25">
      <c r="A51" s="85" t="s">
        <v>247</v>
      </c>
      <c r="B51" s="82" t="s">
        <v>248</v>
      </c>
      <c r="C51" s="83"/>
      <c r="D51" s="84"/>
    </row>
    <row r="52" spans="1:4" ht="11.25">
      <c r="A52" s="85" t="s">
        <v>238</v>
      </c>
      <c r="B52" s="82">
        <v>42</v>
      </c>
      <c r="C52" s="83"/>
      <c r="D52" s="84"/>
    </row>
    <row r="53" spans="1:4" ht="15.75" customHeight="1">
      <c r="A53" s="75" t="s">
        <v>249</v>
      </c>
      <c r="B53" s="76">
        <v>43</v>
      </c>
      <c r="C53" s="79">
        <f>C47+C48+C49+C50+C51+C52</f>
        <v>0</v>
      </c>
      <c r="D53" s="80">
        <f>D47+D48+D49+D50+D51+D52</f>
        <v>0</v>
      </c>
    </row>
    <row r="54" spans="1:4" ht="11.25">
      <c r="A54" s="75" t="s">
        <v>250</v>
      </c>
      <c r="B54" s="76">
        <v>44</v>
      </c>
      <c r="C54" s="79">
        <f>C19+C37+C45+C53</f>
        <v>325934</v>
      </c>
      <c r="D54" s="80">
        <f>D19+D37+D45+D53</f>
        <v>349870</v>
      </c>
    </row>
    <row r="55" spans="1:4" ht="11.25">
      <c r="A55" s="75" t="s">
        <v>251</v>
      </c>
      <c r="B55" s="76">
        <v>45</v>
      </c>
      <c r="C55" s="77">
        <f>'[1]ф1кварт'!D11</f>
        <v>307835</v>
      </c>
      <c r="D55" s="78">
        <f>'[3]ф1кварт'!$D$11</f>
        <v>480858</v>
      </c>
    </row>
    <row r="56" spans="1:4" ht="12" thickBot="1">
      <c r="A56" s="92" t="s">
        <v>252</v>
      </c>
      <c r="B56" s="93">
        <v>46</v>
      </c>
      <c r="C56" s="94">
        <f>'[1]ф1кварт'!C11</f>
        <v>633769</v>
      </c>
      <c r="D56" s="95">
        <f>'[3]ф1кварт'!$C$11</f>
        <v>830728</v>
      </c>
    </row>
    <row r="57" spans="3:4" ht="11.25">
      <c r="C57" s="96"/>
      <c r="D57" s="96"/>
    </row>
    <row r="61" ht="11.25">
      <c r="A61" s="97" t="s">
        <v>81</v>
      </c>
    </row>
    <row r="62" ht="11.25">
      <c r="A62" s="98"/>
    </row>
    <row r="63" ht="11.25">
      <c r="A63" s="98"/>
    </row>
    <row r="64" ht="11.25">
      <c r="A64" s="97" t="s">
        <v>253</v>
      </c>
    </row>
    <row r="65" ht="11.25">
      <c r="A65" s="98"/>
    </row>
    <row r="66" ht="11.25">
      <c r="A66" s="98"/>
    </row>
    <row r="67" ht="11.25">
      <c r="A67" s="98" t="s">
        <v>254</v>
      </c>
    </row>
    <row r="68" ht="11.25">
      <c r="A68" s="98" t="s">
        <v>193</v>
      </c>
    </row>
    <row r="69" ht="11.25">
      <c r="A69" s="98" t="s">
        <v>255</v>
      </c>
    </row>
    <row r="70" ht="11.25">
      <c r="A70" s="98"/>
    </row>
  </sheetData>
  <sheetProtection/>
  <mergeCells count="5">
    <mergeCell ref="C1:D1"/>
    <mergeCell ref="A2:D2"/>
    <mergeCell ref="A4:D4"/>
    <mergeCell ref="A5:D5"/>
    <mergeCell ref="A6:D6"/>
  </mergeCells>
  <printOptions/>
  <pageMargins left="0.95" right="0.7086614173228347" top="0.32" bottom="0.34" header="0.17" footer="0.17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40">
      <selection activeCell="A52" sqref="A52"/>
    </sheetView>
  </sheetViews>
  <sheetFormatPr defaultColWidth="9.140625" defaultRowHeight="15"/>
  <cols>
    <col min="1" max="1" width="69.7109375" style="99" customWidth="1"/>
    <col min="2" max="2" width="9.140625" style="99" customWidth="1"/>
    <col min="3" max="3" width="12.140625" style="99" customWidth="1"/>
    <col min="4" max="4" width="16.00390625" style="99" customWidth="1"/>
    <col min="5" max="5" width="15.7109375" style="99" customWidth="1"/>
    <col min="6" max="6" width="13.57421875" style="99" customWidth="1"/>
    <col min="7" max="7" width="16.140625" style="99" customWidth="1"/>
    <col min="8" max="8" width="16.57421875" style="99" customWidth="1"/>
    <col min="9" max="9" width="16.140625" style="99" customWidth="1"/>
    <col min="10" max="31" width="9.140625" style="99" customWidth="1"/>
    <col min="32" max="16384" width="9.140625" style="100" customWidth="1"/>
  </cols>
  <sheetData>
    <row r="1" spans="8:9" ht="12.75">
      <c r="H1" s="145"/>
      <c r="I1" s="146"/>
    </row>
    <row r="3" spans="1:9" ht="12.75">
      <c r="A3" s="145" t="s">
        <v>256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147" t="str">
        <f>'[1]1-3 кл'!A2:G2</f>
        <v>Акционерное общество  "БТА Ипотека"</v>
      </c>
      <c r="B4" s="147"/>
      <c r="C4" s="147"/>
      <c r="D4" s="147"/>
      <c r="E4" s="147"/>
      <c r="F4" s="147"/>
      <c r="G4" s="147"/>
      <c r="H4" s="147"/>
      <c r="I4" s="147"/>
    </row>
    <row r="5" spans="1:9" ht="12.75">
      <c r="A5" s="148" t="s">
        <v>195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7" t="str">
        <f>'[1]1-3 кл'!A5:G5</f>
        <v> по состоянию на 01  июля 2015</v>
      </c>
      <c r="B6" s="147"/>
      <c r="C6" s="147"/>
      <c r="D6" s="147"/>
      <c r="E6" s="147"/>
      <c r="F6" s="147"/>
      <c r="G6" s="147"/>
      <c r="H6" s="147"/>
      <c r="I6" s="147"/>
    </row>
    <row r="7" spans="1:31" s="104" customFormat="1" ht="13.5" thickBot="1">
      <c r="A7" s="101"/>
      <c r="B7" s="102"/>
      <c r="C7" s="102"/>
      <c r="D7" s="102"/>
      <c r="E7" s="101"/>
      <c r="F7" s="101"/>
      <c r="G7" s="101"/>
      <c r="H7" s="101"/>
      <c r="I7" s="103" t="s">
        <v>4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</row>
    <row r="8" spans="1:9" ht="12.75">
      <c r="A8" s="149" t="s">
        <v>5</v>
      </c>
      <c r="B8" s="151" t="s">
        <v>257</v>
      </c>
      <c r="C8" s="153" t="s">
        <v>258</v>
      </c>
      <c r="D8" s="153"/>
      <c r="E8" s="153"/>
      <c r="F8" s="153"/>
      <c r="G8" s="153"/>
      <c r="H8" s="154" t="s">
        <v>76</v>
      </c>
      <c r="I8" s="156" t="s">
        <v>259</v>
      </c>
    </row>
    <row r="9" spans="1:9" ht="39" thickBot="1">
      <c r="A9" s="150"/>
      <c r="B9" s="152"/>
      <c r="C9" s="105" t="s">
        <v>59</v>
      </c>
      <c r="D9" s="105" t="s">
        <v>66</v>
      </c>
      <c r="E9" s="105" t="s">
        <v>69</v>
      </c>
      <c r="F9" s="106" t="s">
        <v>260</v>
      </c>
      <c r="G9" s="107" t="s">
        <v>261</v>
      </c>
      <c r="H9" s="155"/>
      <c r="I9" s="157"/>
    </row>
    <row r="10" spans="1:9" ht="12.75">
      <c r="A10" s="108">
        <v>1</v>
      </c>
      <c r="B10" s="109"/>
      <c r="C10" s="110">
        <v>2</v>
      </c>
      <c r="D10" s="110">
        <v>3</v>
      </c>
      <c r="E10" s="110">
        <v>4</v>
      </c>
      <c r="F10" s="110">
        <v>5</v>
      </c>
      <c r="G10" s="110">
        <v>6</v>
      </c>
      <c r="H10" s="110">
        <v>7</v>
      </c>
      <c r="I10" s="111">
        <v>8</v>
      </c>
    </row>
    <row r="11" spans="1:9" ht="12.75">
      <c r="A11" s="112" t="s">
        <v>262</v>
      </c>
      <c r="B11" s="113">
        <v>1</v>
      </c>
      <c r="C11" s="114">
        <v>5615004</v>
      </c>
      <c r="D11" s="114">
        <v>5134250</v>
      </c>
      <c r="E11" s="114"/>
      <c r="F11" s="114">
        <v>-3354619</v>
      </c>
      <c r="G11" s="115">
        <f>SUM(C11+D11+E11+F11)</f>
        <v>7394635</v>
      </c>
      <c r="H11" s="114"/>
      <c r="I11" s="116">
        <f>G11+H11</f>
        <v>7394635</v>
      </c>
    </row>
    <row r="12" spans="1:9" ht="12.75">
      <c r="A12" s="117" t="s">
        <v>263</v>
      </c>
      <c r="B12" s="113">
        <v>2</v>
      </c>
      <c r="C12" s="118"/>
      <c r="D12" s="118"/>
      <c r="E12" s="118"/>
      <c r="F12" s="118"/>
      <c r="G12" s="115">
        <f>SUM(C12+D12+E12+F12)</f>
        <v>0</v>
      </c>
      <c r="H12" s="118"/>
      <c r="I12" s="119"/>
    </row>
    <row r="13" spans="1:9" ht="12.75">
      <c r="A13" s="112" t="s">
        <v>264</v>
      </c>
      <c r="B13" s="113">
        <v>3</v>
      </c>
      <c r="C13" s="120">
        <f>C11+C12</f>
        <v>5615004</v>
      </c>
      <c r="D13" s="120">
        <f>D11+D12</f>
        <v>5134250</v>
      </c>
      <c r="E13" s="120">
        <f>E11+E12</f>
        <v>0</v>
      </c>
      <c r="F13" s="120">
        <f>F11+F12</f>
        <v>-3354619</v>
      </c>
      <c r="G13" s="120">
        <f>G11+G12</f>
        <v>7394635</v>
      </c>
      <c r="H13" s="121"/>
      <c r="I13" s="116">
        <f>G13+H13</f>
        <v>7394635</v>
      </c>
    </row>
    <row r="14" spans="1:9" ht="18" customHeight="1">
      <c r="A14" s="122" t="s">
        <v>265</v>
      </c>
      <c r="B14" s="123">
        <v>4</v>
      </c>
      <c r="C14" s="121"/>
      <c r="D14" s="121"/>
      <c r="E14" s="121"/>
      <c r="F14" s="121"/>
      <c r="G14" s="121"/>
      <c r="H14" s="121"/>
      <c r="I14" s="119"/>
    </row>
    <row r="15" spans="1:9" ht="12.75">
      <c r="A15" s="124" t="s">
        <v>266</v>
      </c>
      <c r="B15" s="123">
        <v>5</v>
      </c>
      <c r="C15" s="121"/>
      <c r="D15" s="121"/>
      <c r="E15" s="121"/>
      <c r="F15" s="121"/>
      <c r="G15" s="121"/>
      <c r="H15" s="121"/>
      <c r="I15" s="119"/>
    </row>
    <row r="16" spans="1:9" ht="12.75">
      <c r="A16" s="124" t="s">
        <v>267</v>
      </c>
      <c r="B16" s="123">
        <v>6</v>
      </c>
      <c r="C16" s="121"/>
      <c r="D16" s="121"/>
      <c r="E16" s="121"/>
      <c r="F16" s="121"/>
      <c r="G16" s="121"/>
      <c r="H16" s="121"/>
      <c r="I16" s="119"/>
    </row>
    <row r="17" spans="1:9" ht="12.75">
      <c r="A17" s="112" t="s">
        <v>268</v>
      </c>
      <c r="B17" s="123">
        <v>7</v>
      </c>
      <c r="C17" s="121"/>
      <c r="D17" s="121"/>
      <c r="E17" s="121"/>
      <c r="F17" s="121"/>
      <c r="G17" s="121"/>
      <c r="H17" s="121"/>
      <c r="I17" s="119"/>
    </row>
    <row r="18" spans="1:9" ht="12.75">
      <c r="A18" s="112" t="s">
        <v>269</v>
      </c>
      <c r="B18" s="123">
        <v>8</v>
      </c>
      <c r="C18" s="120">
        <f>C14+C15+C16+C17</f>
        <v>0</v>
      </c>
      <c r="D18" s="120">
        <f>D14+D15+D16+D17</f>
        <v>0</v>
      </c>
      <c r="E18" s="120">
        <f>E14+E15+E16+E17</f>
        <v>0</v>
      </c>
      <c r="F18" s="120">
        <f>F14+F15+F16+F17</f>
        <v>0</v>
      </c>
      <c r="G18" s="120">
        <f>G16+G17</f>
        <v>0</v>
      </c>
      <c r="H18" s="121"/>
      <c r="I18" s="116">
        <f>G18+H18</f>
        <v>0</v>
      </c>
    </row>
    <row r="19" spans="1:9" ht="12.75">
      <c r="A19" s="112" t="s">
        <v>270</v>
      </c>
      <c r="B19" s="123">
        <v>9</v>
      </c>
      <c r="C19" s="121"/>
      <c r="D19" s="121"/>
      <c r="E19" s="121"/>
      <c r="F19" s="121">
        <f>'[1]ф1кварт'!D71</f>
        <v>206181</v>
      </c>
      <c r="G19" s="121">
        <f>SUM(C19:F19)</f>
        <v>206181</v>
      </c>
      <c r="H19" s="121"/>
      <c r="I19" s="119">
        <f>SUM(G19:H19)</f>
        <v>206181</v>
      </c>
    </row>
    <row r="20" spans="1:9" ht="12.75">
      <c r="A20" s="112" t="s">
        <v>271</v>
      </c>
      <c r="B20" s="123">
        <v>10</v>
      </c>
      <c r="C20" s="120">
        <f>C18+C19</f>
        <v>0</v>
      </c>
      <c r="D20" s="120">
        <f>D18+D19</f>
        <v>0</v>
      </c>
      <c r="E20" s="120">
        <f>E18+E19</f>
        <v>0</v>
      </c>
      <c r="F20" s="120">
        <f>F18+F19</f>
        <v>206181</v>
      </c>
      <c r="G20" s="120">
        <f>G18+G19</f>
        <v>206181</v>
      </c>
      <c r="H20" s="121"/>
      <c r="I20" s="116">
        <f>G20+H20</f>
        <v>206181</v>
      </c>
    </row>
    <row r="21" spans="1:9" ht="12.75">
      <c r="A21" s="122" t="s">
        <v>272</v>
      </c>
      <c r="B21" s="123">
        <v>11</v>
      </c>
      <c r="C21" s="121"/>
      <c r="D21" s="121"/>
      <c r="E21" s="121"/>
      <c r="F21" s="121"/>
      <c r="G21" s="121"/>
      <c r="H21" s="121"/>
      <c r="I21" s="119"/>
    </row>
    <row r="22" spans="1:9" ht="12.75">
      <c r="A22" s="122" t="s">
        <v>273</v>
      </c>
      <c r="B22" s="123">
        <v>12</v>
      </c>
      <c r="C22" s="121"/>
      <c r="D22" s="121"/>
      <c r="E22" s="121"/>
      <c r="F22" s="121"/>
      <c r="G22" s="121"/>
      <c r="H22" s="121"/>
      <c r="I22" s="119"/>
    </row>
    <row r="23" spans="1:9" ht="12.75">
      <c r="A23" s="124" t="s">
        <v>274</v>
      </c>
      <c r="B23" s="113">
        <v>12</v>
      </c>
      <c r="C23" s="121"/>
      <c r="D23" s="121"/>
      <c r="E23" s="121"/>
      <c r="F23" s="121"/>
      <c r="G23" s="121"/>
      <c r="H23" s="121"/>
      <c r="I23" s="119"/>
    </row>
    <row r="24" spans="1:9" ht="12.75">
      <c r="A24" s="124" t="s">
        <v>275</v>
      </c>
      <c r="B24" s="113">
        <v>14</v>
      </c>
      <c r="C24" s="120">
        <f>C25+C26</f>
        <v>0</v>
      </c>
      <c r="D24" s="120">
        <f>D25+D26</f>
        <v>0</v>
      </c>
      <c r="E24" s="120">
        <f>E25+E26</f>
        <v>0</v>
      </c>
      <c r="F24" s="120">
        <f>F25+F26</f>
        <v>0</v>
      </c>
      <c r="G24" s="120">
        <f>G22+G23</f>
        <v>0</v>
      </c>
      <c r="H24" s="121"/>
      <c r="I24" s="116">
        <f>G24+H24</f>
        <v>0</v>
      </c>
    </row>
    <row r="25" spans="1:9" ht="12.75">
      <c r="A25" s="124" t="s">
        <v>276</v>
      </c>
      <c r="B25" s="113">
        <v>15</v>
      </c>
      <c r="C25" s="121"/>
      <c r="D25" s="121"/>
      <c r="E25" s="121"/>
      <c r="F25" s="121"/>
      <c r="G25" s="121"/>
      <c r="H25" s="121"/>
      <c r="I25" s="119"/>
    </row>
    <row r="26" spans="1:9" ht="12.75">
      <c r="A26" s="124" t="s">
        <v>277</v>
      </c>
      <c r="B26" s="113">
        <v>16</v>
      </c>
      <c r="C26" s="121"/>
      <c r="D26" s="121"/>
      <c r="E26" s="121"/>
      <c r="F26" s="121"/>
      <c r="G26" s="121"/>
      <c r="H26" s="121"/>
      <c r="I26" s="119"/>
    </row>
    <row r="27" spans="1:9" ht="12.75">
      <c r="A27" s="124" t="s">
        <v>278</v>
      </c>
      <c r="B27" s="113">
        <v>17</v>
      </c>
      <c r="C27" s="121"/>
      <c r="D27" s="121"/>
      <c r="E27" s="121"/>
      <c r="F27" s="121"/>
      <c r="G27" s="121"/>
      <c r="H27" s="121"/>
      <c r="I27" s="119"/>
    </row>
    <row r="28" spans="1:9" ht="12.75">
      <c r="A28" s="125" t="s">
        <v>279</v>
      </c>
      <c r="B28" s="113">
        <v>18</v>
      </c>
      <c r="C28" s="121">
        <f>C11</f>
        <v>5615004</v>
      </c>
      <c r="D28" s="121">
        <f>D11</f>
        <v>5134250</v>
      </c>
      <c r="E28" s="121"/>
      <c r="F28" s="121">
        <f>F11+F19</f>
        <v>-3148438</v>
      </c>
      <c r="G28" s="121">
        <f>G11+G20</f>
        <v>7600816</v>
      </c>
      <c r="H28" s="121"/>
      <c r="I28" s="119">
        <f>SUM(G28:H28)</f>
        <v>7600816</v>
      </c>
    </row>
    <row r="29" spans="1:9" ht="12.75">
      <c r="A29" s="117" t="s">
        <v>263</v>
      </c>
      <c r="B29" s="113">
        <v>19</v>
      </c>
      <c r="C29" s="121"/>
      <c r="D29" s="121"/>
      <c r="E29" s="121"/>
      <c r="F29" s="121"/>
      <c r="G29" s="121"/>
      <c r="H29" s="121"/>
      <c r="I29" s="119"/>
    </row>
    <row r="30" spans="1:9" ht="12.75">
      <c r="A30" s="112" t="s">
        <v>280</v>
      </c>
      <c r="B30" s="113">
        <v>20</v>
      </c>
      <c r="C30" s="120">
        <f>C28+C29</f>
        <v>5615004</v>
      </c>
      <c r="D30" s="120">
        <f>D28+D29</f>
        <v>5134250</v>
      </c>
      <c r="E30" s="120">
        <f>E28+E29</f>
        <v>0</v>
      </c>
      <c r="F30" s="120">
        <f>F28+F29</f>
        <v>-3148438</v>
      </c>
      <c r="G30" s="120">
        <f>G28+G29</f>
        <v>7600816</v>
      </c>
      <c r="H30" s="121"/>
      <c r="I30" s="116">
        <f>G30+H30</f>
        <v>7600816</v>
      </c>
    </row>
    <row r="31" spans="1:9" ht="25.5">
      <c r="A31" s="122" t="s">
        <v>265</v>
      </c>
      <c r="B31" s="113">
        <v>21</v>
      </c>
      <c r="C31" s="121"/>
      <c r="D31" s="121"/>
      <c r="E31" s="121"/>
      <c r="F31" s="121"/>
      <c r="G31" s="121"/>
      <c r="H31" s="121"/>
      <c r="I31" s="119"/>
    </row>
    <row r="32" spans="1:9" ht="12.75">
      <c r="A32" s="124" t="s">
        <v>266</v>
      </c>
      <c r="B32" s="113">
        <v>22</v>
      </c>
      <c r="C32" s="121"/>
      <c r="D32" s="121"/>
      <c r="E32" s="121"/>
      <c r="F32" s="121"/>
      <c r="G32" s="121"/>
      <c r="H32" s="121"/>
      <c r="I32" s="119"/>
    </row>
    <row r="33" spans="1:9" ht="12.75">
      <c r="A33" s="124" t="s">
        <v>267</v>
      </c>
      <c r="B33" s="113">
        <v>23</v>
      </c>
      <c r="C33" s="121"/>
      <c r="D33" s="121"/>
      <c r="E33" s="121"/>
      <c r="F33" s="121"/>
      <c r="G33" s="121"/>
      <c r="H33" s="121"/>
      <c r="I33" s="119"/>
    </row>
    <row r="34" spans="1:9" ht="12.75">
      <c r="A34" s="112" t="s">
        <v>268</v>
      </c>
      <c r="B34" s="113">
        <v>24</v>
      </c>
      <c r="C34" s="121"/>
      <c r="D34" s="121"/>
      <c r="E34" s="121"/>
      <c r="F34" s="121"/>
      <c r="G34" s="121"/>
      <c r="H34" s="121"/>
      <c r="I34" s="119"/>
    </row>
    <row r="35" spans="1:9" ht="12.75">
      <c r="A35" s="112" t="s">
        <v>269</v>
      </c>
      <c r="B35" s="113">
        <v>25</v>
      </c>
      <c r="C35" s="120">
        <f>C31+C32+C33+C34</f>
        <v>0</v>
      </c>
      <c r="D35" s="120">
        <f>D31+D32+D33+D34</f>
        <v>0</v>
      </c>
      <c r="E35" s="120">
        <f>E31+E32+E33+E34</f>
        <v>0</v>
      </c>
      <c r="F35" s="120">
        <f>F31+F32+F33+F34</f>
        <v>0</v>
      </c>
      <c r="G35" s="120">
        <f>G33+G34</f>
        <v>0</v>
      </c>
      <c r="H35" s="121"/>
      <c r="I35" s="116">
        <f>G35+H35</f>
        <v>0</v>
      </c>
    </row>
    <row r="36" spans="1:9" ht="12.75">
      <c r="A36" s="112" t="s">
        <v>270</v>
      </c>
      <c r="B36" s="113">
        <v>26</v>
      </c>
      <c r="C36" s="121"/>
      <c r="D36" s="121"/>
      <c r="E36" s="121"/>
      <c r="F36" s="121">
        <f>'[1]ф1кварт'!C71</f>
        <v>235600</v>
      </c>
      <c r="G36" s="121">
        <f>SUM(C36:F36)</f>
        <v>235600</v>
      </c>
      <c r="H36" s="121"/>
      <c r="I36" s="119">
        <f>SUM(G36:H36)</f>
        <v>235600</v>
      </c>
    </row>
    <row r="37" spans="1:9" ht="12.75">
      <c r="A37" s="112" t="s">
        <v>271</v>
      </c>
      <c r="B37" s="113">
        <v>27</v>
      </c>
      <c r="C37" s="120">
        <f>C35+C36</f>
        <v>0</v>
      </c>
      <c r="D37" s="120">
        <f>D35+D36</f>
        <v>0</v>
      </c>
      <c r="E37" s="120">
        <f>E35+E36</f>
        <v>0</v>
      </c>
      <c r="F37" s="120">
        <f>F35+F36</f>
        <v>235600</v>
      </c>
      <c r="G37" s="120">
        <f>G35+G36</f>
        <v>235600</v>
      </c>
      <c r="H37" s="121"/>
      <c r="I37" s="116">
        <f>G37+H37</f>
        <v>235600</v>
      </c>
    </row>
    <row r="38" spans="1:9" ht="12.75">
      <c r="A38" s="122" t="s">
        <v>272</v>
      </c>
      <c r="B38" s="113">
        <v>28</v>
      </c>
      <c r="C38" s="121"/>
      <c r="D38" s="121"/>
      <c r="E38" s="121"/>
      <c r="F38" s="121"/>
      <c r="G38" s="121"/>
      <c r="H38" s="121"/>
      <c r="I38" s="119"/>
    </row>
    <row r="39" spans="1:9" ht="12.75">
      <c r="A39" s="122" t="s">
        <v>273</v>
      </c>
      <c r="B39" s="113">
        <v>29</v>
      </c>
      <c r="C39" s="121"/>
      <c r="D39" s="121"/>
      <c r="E39" s="121"/>
      <c r="F39" s="121"/>
      <c r="G39" s="121"/>
      <c r="H39" s="121"/>
      <c r="I39" s="119"/>
    </row>
    <row r="40" spans="1:9" ht="12.75">
      <c r="A40" s="124" t="s">
        <v>274</v>
      </c>
      <c r="B40" s="113">
        <v>30</v>
      </c>
      <c r="C40" s="121"/>
      <c r="D40" s="121"/>
      <c r="E40" s="121"/>
      <c r="F40" s="121"/>
      <c r="G40" s="121"/>
      <c r="H40" s="121"/>
      <c r="I40" s="119"/>
    </row>
    <row r="41" spans="1:9" ht="12.75">
      <c r="A41" s="124" t="s">
        <v>275</v>
      </c>
      <c r="B41" s="113">
        <v>31</v>
      </c>
      <c r="C41" s="120">
        <f>C42+C43</f>
        <v>0</v>
      </c>
      <c r="D41" s="120">
        <f>D42+D43</f>
        <v>0</v>
      </c>
      <c r="E41" s="120">
        <f>E42+E43</f>
        <v>0</v>
      </c>
      <c r="F41" s="120">
        <f>F42+F43</f>
        <v>0</v>
      </c>
      <c r="G41" s="120">
        <f>G39+G40</f>
        <v>0</v>
      </c>
      <c r="H41" s="121"/>
      <c r="I41" s="116">
        <f>G41+H41</f>
        <v>0</v>
      </c>
    </row>
    <row r="42" spans="1:9" ht="12.75">
      <c r="A42" s="124" t="s">
        <v>276</v>
      </c>
      <c r="B42" s="113">
        <v>32</v>
      </c>
      <c r="C42" s="121"/>
      <c r="D42" s="121"/>
      <c r="E42" s="121"/>
      <c r="F42" s="121"/>
      <c r="G42" s="121"/>
      <c r="H42" s="121"/>
      <c r="I42" s="119"/>
    </row>
    <row r="43" spans="1:9" ht="12.75">
      <c r="A43" s="124" t="s">
        <v>277</v>
      </c>
      <c r="B43" s="113">
        <v>33</v>
      </c>
      <c r="C43" s="121"/>
      <c r="D43" s="121"/>
      <c r="E43" s="121"/>
      <c r="F43" s="121"/>
      <c r="G43" s="121"/>
      <c r="H43" s="121"/>
      <c r="I43" s="119"/>
    </row>
    <row r="44" spans="1:9" ht="12.75">
      <c r="A44" s="124" t="s">
        <v>278</v>
      </c>
      <c r="B44" s="113">
        <v>34</v>
      </c>
      <c r="C44" s="121"/>
      <c r="D44" s="121"/>
      <c r="E44" s="121"/>
      <c r="F44" s="121"/>
      <c r="G44" s="121"/>
      <c r="H44" s="121"/>
      <c r="I44" s="119"/>
    </row>
    <row r="45" spans="1:9" ht="12.75">
      <c r="A45" s="125" t="s">
        <v>281</v>
      </c>
      <c r="B45" s="113">
        <v>35</v>
      </c>
      <c r="C45" s="120">
        <f>C30+C37</f>
        <v>5615004</v>
      </c>
      <c r="D45" s="120">
        <f>D30+D37</f>
        <v>5134250</v>
      </c>
      <c r="E45" s="120">
        <f>E30+E37</f>
        <v>0</v>
      </c>
      <c r="F45" s="120">
        <f>F30+F37</f>
        <v>-2912838</v>
      </c>
      <c r="G45" s="120">
        <f>G30+G37</f>
        <v>7836416</v>
      </c>
      <c r="H45" s="121"/>
      <c r="I45" s="116">
        <f>G45+H45</f>
        <v>7836416</v>
      </c>
    </row>
    <row r="46" spans="1:9" ht="13.5" thickBot="1">
      <c r="A46" s="126"/>
      <c r="B46" s="127"/>
      <c r="C46" s="127"/>
      <c r="D46" s="127"/>
      <c r="E46" s="127"/>
      <c r="F46" s="127"/>
      <c r="G46" s="127"/>
      <c r="H46" s="127"/>
      <c r="I46" s="128"/>
    </row>
    <row r="47" ht="12.75">
      <c r="I47" s="129"/>
    </row>
    <row r="48" spans="1:9" ht="37.5" customHeight="1">
      <c r="A48" s="144" t="s">
        <v>282</v>
      </c>
      <c r="B48" s="144"/>
      <c r="C48" s="144"/>
      <c r="D48" s="144"/>
      <c r="E48" s="144"/>
      <c r="F48" s="144"/>
      <c r="G48" s="144"/>
      <c r="H48" s="144"/>
      <c r="I48" s="144"/>
    </row>
    <row r="50" ht="12.75">
      <c r="A50" s="130" t="s">
        <v>81</v>
      </c>
    </row>
    <row r="51" ht="12.75">
      <c r="A51" s="131"/>
    </row>
    <row r="52" ht="12.75">
      <c r="A52" s="131"/>
    </row>
    <row r="53" ht="12.75">
      <c r="A53" s="130" t="s">
        <v>283</v>
      </c>
    </row>
    <row r="54" ht="12.75">
      <c r="A54" s="131"/>
    </row>
    <row r="55" ht="12.75">
      <c r="A55" s="131"/>
    </row>
    <row r="56" ht="12.75">
      <c r="A56" s="131" t="s">
        <v>254</v>
      </c>
    </row>
    <row r="57" ht="12.75">
      <c r="A57" s="131"/>
    </row>
    <row r="58" ht="12.75">
      <c r="A58" s="131" t="s">
        <v>284</v>
      </c>
    </row>
    <row r="59" ht="12.75">
      <c r="A59" s="131"/>
    </row>
    <row r="60" ht="12.75">
      <c r="A60" s="131" t="s">
        <v>255</v>
      </c>
    </row>
  </sheetData>
  <sheetProtection/>
  <mergeCells count="11">
    <mergeCell ref="I8:I9"/>
    <mergeCell ref="A48:I48"/>
    <mergeCell ref="H1:I1"/>
    <mergeCell ref="A3:I3"/>
    <mergeCell ref="A4:I4"/>
    <mergeCell ref="A5:I5"/>
    <mergeCell ref="A6:I6"/>
    <mergeCell ref="A8:A9"/>
    <mergeCell ref="B8:B9"/>
    <mergeCell ref="C8:G8"/>
    <mergeCell ref="H8:H9"/>
  </mergeCells>
  <printOptions/>
  <pageMargins left="0.7086614173228347" right="0.7086614173228347" top="0.57" bottom="0.2362204724409449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cp:lastPrinted>2015-07-27T10:33:25Z</cp:lastPrinted>
  <dcterms:created xsi:type="dcterms:W3CDTF">2015-07-27T02:30:06Z</dcterms:created>
  <dcterms:modified xsi:type="dcterms:W3CDTF">2015-07-27T10:37:58Z</dcterms:modified>
  <cp:category/>
  <cp:version/>
  <cp:contentType/>
  <cp:contentStatus/>
</cp:coreProperties>
</file>