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927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<sst xmlns="http://schemas.openxmlformats.org/spreadsheetml/2006/main" count="408" uniqueCount="348">
  <si>
    <t xml:space="preserve">Приложение 7 к Инструкции о перечне, формах и сроках представления финансовой отчетности финансовыми организациями и АО "Банк Развития Казахстана" </t>
  </si>
  <si>
    <t>Форма № 1</t>
  </si>
  <si>
    <t>Бухгалтерский баланс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</si>
  <si>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</si>
  <si>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</si>
  <si>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</si>
  <si>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</si>
  <si>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</si>
  <si>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</si>
  <si>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</si>
  <si>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</si>
  <si>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</si>
  <si>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</si>
  <si>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</si>
  <si>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</si>
  <si>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</si>
  <si>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</si>
  <si>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</si>
  <si>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из них: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</si>
  <si>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</si>
  <si>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</si>
  <si>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</si>
  <si>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</si>
  <si>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</si>
  <si>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</si>
  <si>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</si>
  <si>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</si>
  <si>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</si>
  <si>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</si>
  <si>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</si>
  <si>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</si>
  <si>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</si>
  <si>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</si>
  <si>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</si>
  <si>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</si>
  <si>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</si>
  <si>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</si>
  <si>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Дебиторская задолженность от клиентов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</si>
  <si>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</si>
  <si>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</si>
  <si>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</si>
  <si>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</si>
  <si>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</si>
  <si>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</si>
  <si>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</si>
  <si>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</si>
  <si>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</si>
  <si>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</si>
  <si>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</si>
  <si>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</si>
  <si>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</si>
  <si>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</si>
  <si>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</si>
  <si>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</si>
  <si>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</si>
  <si>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</si>
  <si>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</si>
  <si>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</si>
  <si>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</si>
  <si>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</si>
  <si>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</si>
  <si>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</si>
  <si>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</si>
  <si>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</si>
  <si>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</si>
  <si>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</si>
  <si>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</si>
  <si>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</si>
  <si>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Дополнительные резервы (провизии), подлежащие созданию в соответствии с  требованиями Национального Банка Республики Казахстан</t>
  </si>
  <si>
    <t>Прочие резервы</t>
  </si>
  <si>
    <t xml:space="preserve">Нераспределенная прибыль (непокрытый убыток)    </t>
  </si>
  <si>
    <t>в том числе:</t>
  </si>
  <si>
    <t xml:space="preserve">     предыдущих лет</t>
  </si>
  <si>
    <t>43.1</t>
  </si>
  <si>
    <t xml:space="preserve">     отчетного периода</t>
  </si>
  <si>
    <t>43.2</t>
  </si>
  <si>
    <t>Доля меньшинства</t>
  </si>
  <si>
    <t xml:space="preserve">Итого капитал: </t>
  </si>
  <si>
    <t>Итого капитал и обязательства (стр.35+стр.44)</t>
  </si>
  <si>
    <t>Стоимость одной простой акции, тенге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</si>
  <si>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</si>
  <si>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(на период его отсутствия - лицо, его замещающее) _____________________</t>
  </si>
  <si>
    <t>дата __________________</t>
  </si>
  <si>
    <t>Главный бухгалтер      _____________________</t>
  </si>
  <si>
    <t xml:space="preserve">Исполнитель                 ______________________  </t>
  </si>
  <si>
    <t>Телефон        _______________________</t>
  </si>
  <si>
    <t>Место для печати</t>
  </si>
  <si>
    <t>Приложение 8 к Инструкции о перечне, формах и сроках представления финансовой отчетности финансовыми организациями и АО "Банк Развития Казахстана"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</si>
  <si>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</si>
  <si>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</si>
  <si>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</si>
  <si>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</si>
  <si>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</si>
  <si>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</si>
  <si>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</si>
  <si>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</si>
  <si>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</si>
  <si>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</si>
  <si>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</si>
  <si>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</si>
  <si>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</si>
  <si>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</si>
  <si>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</si>
  <si>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</si>
  <si>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</si>
  <si>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</si>
  <si>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</si>
  <si>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</si>
  <si>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</si>
  <si>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</si>
  <si>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</si>
  <si>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</si>
  <si>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</si>
  <si>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</si>
  <si>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</si>
  <si>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</si>
  <si>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</si>
  <si>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</si>
  <si>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</si>
  <si>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</si>
  <si>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</si>
  <si>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</si>
  <si>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</si>
  <si>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</si>
  <si>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</si>
  <si>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</si>
  <si>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</si>
  <si>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</si>
  <si>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</si>
  <si>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из них:  </t>
  </si>
  <si>
    <t xml:space="preserve">   доходы (расходы) от купли/продажи финансовых активов (нетто)</t>
  </si>
  <si>
    <t>4.1</t>
  </si>
  <si>
    <t xml:space="preserve"> 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</si>
  <si>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</si>
  <si>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</si>
  <si>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</si>
  <si>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</si>
  <si>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</si>
  <si>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</si>
  <si>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</si>
  <si>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</si>
  <si>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</si>
  <si>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</si>
  <si>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</si>
  <si>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</si>
  <si>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</si>
  <si>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</si>
  <si>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</si>
  <si>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</si>
  <si>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</si>
  <si>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</si>
  <si>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</si>
  <si>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</si>
  <si>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</si>
  <si>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</si>
  <si>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</si>
  <si>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</si>
  <si>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</si>
  <si>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</si>
  <si>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</si>
  <si>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</si>
  <si>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</si>
  <si>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</si>
  <si>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</si>
  <si>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</si>
  <si>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</si>
  <si>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</si>
  <si>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</si>
  <si>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</si>
  <si>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</si>
  <si>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</si>
  <si>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</si>
  <si>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</si>
  <si>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</si>
  <si>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</si>
  <si>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</si>
  <si>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 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</si>
  <si>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</si>
  <si>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</si>
  <si>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</si>
  <si>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</si>
  <si>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(стр.10 - стр.17)</t>
  </si>
  <si>
    <t>18</t>
  </si>
  <si>
    <t xml:space="preserve">Резервы (восстановление резервов) на возможные потери по операциям 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</si>
  <si>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</si>
  <si>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</si>
  <si>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</si>
  <si>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       (стр. 18 - стр. 19)</t>
  </si>
  <si>
    <t>Корпоративный подоходный налог</t>
  </si>
  <si>
    <t>Чистая прибыль (убыток) после уплаты 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</si>
  <si>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</si>
  <si>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</si>
  <si>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</si>
  <si>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Телефон</t>
  </si>
  <si>
    <t>Форма №3</t>
  </si>
  <si>
    <t xml:space="preserve">Наименование организации    </t>
  </si>
  <si>
    <t>АО "БТА  Ипотека"</t>
  </si>
  <si>
    <t xml:space="preserve">  г.Алматы, п-т Достык  д.85"А"</t>
  </si>
  <si>
    <t>Орган управления государственным имуществом</t>
  </si>
  <si>
    <t>Юридическая форма</t>
  </si>
  <si>
    <t>Единица измерения: тыс.тенге</t>
  </si>
  <si>
    <t>Наименование показателей</t>
  </si>
  <si>
    <t>За предыдущий период</t>
  </si>
  <si>
    <t>I. Движение денежных средств от операционной деятельности</t>
  </si>
  <si>
    <t>1 Поступление денежных средств, всего (сумма строк с 011 по 016)</t>
  </si>
  <si>
    <t>010</t>
  </si>
  <si>
    <t xml:space="preserve">реализация товаров и услуг  </t>
  </si>
  <si>
    <t>011</t>
  </si>
  <si>
    <t>прочая выручка</t>
  </si>
  <si>
    <t>012</t>
  </si>
  <si>
    <t>авансы, полученнные от покупателей и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</si>
  <si>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</si>
  <si>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</si>
  <si>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</si>
  <si>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</si>
  <si>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</si>
  <si>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</si>
  <si>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</si>
  <si>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</si>
  <si>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</si>
  <si>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</si>
  <si>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</si>
  <si>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</si>
  <si>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</si>
  <si>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</si>
  <si>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</si>
  <si>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</si>
  <si>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</si>
  <si>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</si>
  <si>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</si>
  <si>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</si>
  <si>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</si>
  <si>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</si>
  <si>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</si>
  <si>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010- строка 020)</t>
  </si>
  <si>
    <t>030</t>
  </si>
  <si>
    <t>II. Движение денежных средств от инвестиционной деятельности</t>
  </si>
  <si>
    <t>1 Поступление денежных средств всего (сумма строк с 041 по 051 )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</si>
  <si>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</si>
  <si>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</si>
  <si>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</si>
  <si>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</si>
  <si>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</si>
  <si>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</si>
  <si>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</si>
  <si>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</si>
  <si>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</si>
  <si>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</si>
  <si>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</si>
  <si>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</si>
  <si>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</si>
  <si>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</si>
  <si>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</si>
  <si>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форврдные контракты, опционы и свопы</t>
  </si>
  <si>
    <t>048</t>
  </si>
  <si>
    <t>полученные дивиденды</t>
  </si>
  <si>
    <t>049</t>
  </si>
  <si>
    <t>050</t>
  </si>
  <si>
    <t>051</t>
  </si>
  <si>
    <t>2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</si>
  <si>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</si>
  <si>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</si>
  <si>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</si>
  <si>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</si>
  <si>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</si>
  <si>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</si>
  <si>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</si>
  <si>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</si>
  <si>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</si>
  <si>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</si>
  <si>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</si>
  <si>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</si>
  <si>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</si>
  <si>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</si>
  <si>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</si>
  <si>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</si>
  <si>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</si>
  <si>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</si>
  <si>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</si>
  <si>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</si>
  <si>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</si>
  <si>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040-строка 060)</t>
  </si>
  <si>
    <t>080</t>
  </si>
  <si>
    <t>III. Движение денежных средств от финансовой деятельности</t>
  </si>
  <si>
    <t>1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</si>
  <si>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</si>
  <si>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</si>
  <si>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</si>
  <si>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 xml:space="preserve"> </t>
  </si>
  <si>
    <t>получение займов</t>
  </si>
  <si>
    <t>092</t>
  </si>
  <si>
    <t>093</t>
  </si>
  <si>
    <t xml:space="preserve">прочие поступления   </t>
  </si>
  <si>
    <t>094</t>
  </si>
  <si>
    <t>2 Выбытие денежных средств, всего (сумма строк с 101 по 105 )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</si>
  <si>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</si>
  <si>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</si>
  <si>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</si>
  <si>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</si>
  <si>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</si>
  <si>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</si>
  <si>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выплата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</si>
  <si>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</si>
  <si>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</si>
  <si>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</si>
  <si>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090- строка 100)</t>
  </si>
  <si>
    <t>110</t>
  </si>
  <si>
    <t>4. Влияние обменных курсов валют к тенге</t>
  </si>
  <si>
    <t>5. Увеличение+/-уменьшение денежных средств (строка 030+/- строка 080+/- строка 110)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</si>
  <si>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</si>
  <si>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</si>
  <si>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Руководитель ________________________    ________________ </t>
  </si>
  <si>
    <t>            (фамилия, имя, отчество)       (подпись)</t>
  </si>
  <si>
    <t>Главный бухгалтер _______________________  ________________</t>
  </si>
  <si>
    <t>                 (фамилия, имя, отчество)   (подпись)</t>
  </si>
  <si>
    <t>Место печати</t>
  </si>
  <si>
    <t>Отчет об изменениях в капитале</t>
  </si>
  <si>
    <t>(полное наименование ипотечной организации)</t>
  </si>
  <si>
    <t>Символ</t>
  </si>
  <si>
    <t>Капитал родительской организации</t>
  </si>
  <si>
    <t>Итого капитал</t>
  </si>
  <si>
    <t>Нераспределенная прибыль (убыток)</t>
  </si>
  <si>
    <t>Всего</t>
  </si>
  <si>
    <t xml:space="preserve">Сальдо на начало предыдущего периода   </t>
  </si>
  <si>
    <t xml:space="preserve">Изменения в учетной политике и  корректировка ошибок </t>
  </si>
  <si>
    <t>Пересчитанное сальдо на начало предыдущего периода</t>
  </si>
  <si>
    <t xml:space="preserve">Переоценка основных средств             
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</si>
  <si>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</si>
  <si>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</si>
  <si>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</si>
  <si>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</si>
  <si>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 xml:space="preserve">Прибыль (убыток) за период   </t>
  </si>
  <si>
    <t>Всего прибыль (убыток) за период</t>
  </si>
  <si>
    <t xml:space="preserve">Дивиденды </t>
  </si>
  <si>
    <t>Эмиссия акций</t>
  </si>
  <si>
    <t>Выкупленные акции</t>
  </si>
  <si>
    <t>Внутренние переводы, 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</si>
  <si>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</si>
  <si>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</si>
  <si>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</si>
  <si>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</si>
  <si>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</si>
  <si>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</si>
  <si>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"Капитал родительской организации" и "Доля меньшинства" заполняются при составлении консолидированной финансовой отчетности.
При составлении неконсолидированной финансовой отчетности или отсутствии дочерних организаций ипотечные организации заполняют графы 2-6.</t>
  </si>
  <si>
    <t>Руководитель _______________________</t>
  </si>
  <si>
    <t>Главный бухгалтер _____________________</t>
  </si>
  <si>
    <t xml:space="preserve">Исполнитель                      ______________________  </t>
  </si>
  <si>
    <t xml:space="preserve">Телефон: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</si>
</sst>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_р_._-;\-* #,##0_р_._-;_-* &quot;-&quot;??_р_._-;_-@_-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justify" shrinkToFit="1"/>
    </xf>
    <xf numFmtId="0" fontId="5" fillId="0" borderId="0" xfId="0" applyFont="1" applyFill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64" fontId="2" fillId="0" borderId="10" xfId="59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64" fontId="2" fillId="0" borderId="10" xfId="59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wrapText="1"/>
      <protection/>
    </xf>
    <xf numFmtId="164" fontId="5" fillId="0" borderId="10" xfId="59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justify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59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49" fontId="2" fillId="0" borderId="0" xfId="52" applyNumberFormat="1" applyFont="1" applyFill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5" fontId="2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wrapText="1" shrinkToFit="1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wrapText="1" shrinkToFit="1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166" fontId="5" fillId="0" borderId="10" xfId="59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wrapText="1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66" fontId="2" fillId="0" borderId="10" xfId="59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5" fillId="0" borderId="13" xfId="0" applyFont="1" applyFill="1" applyBorder="1" applyAlignment="1" applyProtection="1">
      <alignment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164" fontId="5" fillId="33" borderId="10" xfId="59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167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167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7" fontId="4" fillId="0" borderId="0" xfId="0" applyNumberFormat="1" applyFont="1" applyAlignment="1">
      <alignment/>
    </xf>
    <xf numFmtId="0" fontId="47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wrapText="1"/>
      <protection locked="0"/>
    </xf>
    <xf numFmtId="0" fontId="49" fillId="0" borderId="15" xfId="0" applyFont="1" applyBorder="1" applyAlignment="1" applyProtection="1">
      <alignment horizontal="center" vertical="justify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vertical="top" wrapText="1"/>
      <protection/>
    </xf>
    <xf numFmtId="0" fontId="48" fillId="0" borderId="10" xfId="0" applyFont="1" applyBorder="1" applyAlignment="1" applyProtection="1">
      <alignment horizontal="center"/>
      <protection locked="0"/>
    </xf>
    <xf numFmtId="3" fontId="49" fillId="0" borderId="10" xfId="0" applyNumberFormat="1" applyFont="1" applyBorder="1" applyAlignment="1" applyProtection="1">
      <alignment/>
      <protection locked="0"/>
    </xf>
    <xf numFmtId="3" fontId="49" fillId="0" borderId="10" xfId="0" applyNumberFormat="1" applyFont="1" applyBorder="1" applyAlignment="1" applyProtection="1">
      <alignment/>
      <protection/>
    </xf>
    <xf numFmtId="3" fontId="49" fillId="0" borderId="19" xfId="0" applyNumberFormat="1" applyFont="1" applyBorder="1" applyAlignment="1" applyProtection="1">
      <alignment/>
      <protection/>
    </xf>
    <xf numFmtId="0" fontId="48" fillId="0" borderId="18" xfId="0" applyFont="1" applyBorder="1" applyAlignment="1" applyProtection="1">
      <alignment vertical="top" wrapText="1"/>
      <protection/>
    </xf>
    <xf numFmtId="3" fontId="48" fillId="0" borderId="10" xfId="0" applyNumberFormat="1" applyFont="1" applyBorder="1" applyAlignment="1" applyProtection="1">
      <alignment/>
      <protection locked="0"/>
    </xf>
    <xf numFmtId="3" fontId="49" fillId="0" borderId="19" xfId="0" applyNumberFormat="1" applyFont="1" applyBorder="1" applyAlignment="1" applyProtection="1">
      <alignment/>
      <protection locked="0"/>
    </xf>
    <xf numFmtId="3" fontId="49" fillId="0" borderId="10" xfId="0" applyNumberFormat="1" applyFont="1" applyBorder="1" applyAlignment="1" applyProtection="1">
      <alignment horizontal="right"/>
      <protection/>
    </xf>
    <xf numFmtId="3" fontId="49" fillId="0" borderId="10" xfId="0" applyNumberFormat="1" applyFont="1" applyBorder="1" applyAlignment="1" applyProtection="1">
      <alignment horizontal="right"/>
      <protection locked="0"/>
    </xf>
    <xf numFmtId="0" fontId="48" fillId="0" borderId="18" xfId="0" applyFont="1" applyBorder="1" applyAlignment="1" applyProtection="1">
      <alignment vertical="top" wrapText="1"/>
      <protection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18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/>
      <protection locked="0"/>
    </xf>
    <xf numFmtId="0" fontId="47" fillId="0" borderId="15" xfId="0" applyFont="1" applyBorder="1" applyAlignment="1" applyProtection="1">
      <alignment/>
      <protection locked="0"/>
    </xf>
    <xf numFmtId="0" fontId="47" fillId="0" borderId="21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49" fontId="48" fillId="0" borderId="0" xfId="52" applyNumberFormat="1" applyFont="1" applyBorder="1" applyProtection="1">
      <alignment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5" fillId="34" borderId="0" xfId="0" applyFont="1" applyFill="1" applyAlignment="1">
      <alignment vertical="top" wrapText="1"/>
    </xf>
    <xf numFmtId="0" fontId="10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9" fillId="0" borderId="24" xfId="0" applyFont="1" applyBorder="1" applyAlignment="1" applyProtection="1">
      <alignment horizontal="center" vertical="justify"/>
      <protection locked="0"/>
    </xf>
    <xf numFmtId="0" fontId="49" fillId="0" borderId="24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25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49" fillId="0" borderId="26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авилам по ИК_ру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PEZH~1\AppData\Local\Temp\notesAC1CE6\&#1041;&#1058;&#1048;%20(1-7&#1082;&#1083;)%20&#1085;&#1072;%2001_10_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hange\&#1054;&#1090;&#1095;&#1077;&#1090;&#1099;%20&#1074;%20&#1041;&#1058;&#1040;%202014\&#1089;&#1077;&#1085;&#1090;&#1103;&#1073;&#1088;&#1100;\&#1060;&#1086;&#1088;&#1084;&#1072;_%203_%20&#1044;&#1074;&#1080;&#1078;&#1077;&#1085;&#1080;&#1077;%20&#1076;&#1077;&#1085;&#1077;&#1075;%20&#1087;&#1088;&#1103;&#1084;&#1099;&#1084;%20&#1084;&#1077;&#1090;&#1086;&#1076;&#1086;&#1084;_%203009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hange\&#1054;&#1090;&#1095;&#1077;&#1090;&#1099;%20&#1074;%20&#1041;&#1058;&#1040;%202014\&#1103;&#1085;&#1074;&#1072;&#1088;&#1100;\&#1060;&#1086;&#1088;&#1084;&#1072;_%203_%20&#1044;&#1074;&#1080;&#1078;&#1077;&#1085;&#1080;&#1077;%20&#1076;&#1077;&#1085;&#1077;&#1075;%20&#1087;&#1088;&#1103;&#1084;&#1099;&#1084;%20&#1084;&#1077;&#1090;&#1086;&#1076;&#1086;&#1084;_%203101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0">
        <row r="2">
          <cell r="A2" t="str">
            <v>Акционерное общество  "БТА Ипотека"</v>
          </cell>
        </row>
        <row r="5">
          <cell r="A5" t="str">
            <v> по состоянию на 01  октября 2014 года</v>
          </cell>
        </row>
        <row r="10">
          <cell r="C10">
            <v>2840</v>
          </cell>
          <cell r="G10">
            <v>0</v>
          </cell>
        </row>
        <row r="16">
          <cell r="G16">
            <v>0</v>
          </cell>
        </row>
        <row r="20">
          <cell r="C20">
            <v>0</v>
          </cell>
        </row>
        <row r="24">
          <cell r="G24">
            <v>9613198</v>
          </cell>
        </row>
        <row r="26">
          <cell r="C26">
            <v>743668</v>
          </cell>
        </row>
        <row r="29">
          <cell r="C29">
            <v>0</v>
          </cell>
        </row>
        <row r="38">
          <cell r="C38">
            <v>0</v>
          </cell>
        </row>
        <row r="40">
          <cell r="G40">
            <v>0</v>
          </cell>
        </row>
        <row r="44">
          <cell r="G44">
            <v>0</v>
          </cell>
        </row>
        <row r="45">
          <cell r="C45">
            <v>1050000</v>
          </cell>
        </row>
        <row r="50">
          <cell r="G50">
            <v>0</v>
          </cell>
        </row>
        <row r="53">
          <cell r="G53">
            <v>0</v>
          </cell>
        </row>
        <row r="55">
          <cell r="G55">
            <v>4824892</v>
          </cell>
        </row>
        <row r="61">
          <cell r="G61">
            <v>0</v>
          </cell>
        </row>
        <row r="62">
          <cell r="C62">
            <v>0</v>
          </cell>
        </row>
        <row r="75">
          <cell r="C75">
            <v>0</v>
          </cell>
          <cell r="G75">
            <v>81190</v>
          </cell>
        </row>
        <row r="82">
          <cell r="G82">
            <v>68923</v>
          </cell>
        </row>
        <row r="87">
          <cell r="C87">
            <v>11</v>
          </cell>
        </row>
        <row r="91">
          <cell r="C91">
            <v>12673527</v>
          </cell>
        </row>
        <row r="92">
          <cell r="G92">
            <v>0</v>
          </cell>
        </row>
        <row r="94">
          <cell r="G94">
            <v>0</v>
          </cell>
        </row>
        <row r="99">
          <cell r="G99">
            <v>530</v>
          </cell>
        </row>
        <row r="114">
          <cell r="C114">
            <v>0</v>
          </cell>
          <cell r="G114">
            <v>302442</v>
          </cell>
        </row>
        <row r="115">
          <cell r="G115">
            <v>21123</v>
          </cell>
        </row>
        <row r="122">
          <cell r="C122">
            <v>0</v>
          </cell>
        </row>
        <row r="137">
          <cell r="G137">
            <v>0</v>
          </cell>
        </row>
        <row r="138">
          <cell r="C138">
            <v>396501</v>
          </cell>
        </row>
        <row r="147">
          <cell r="C147">
            <v>5789082</v>
          </cell>
          <cell r="G147">
            <v>5615004</v>
          </cell>
        </row>
        <row r="155">
          <cell r="G155">
            <v>0</v>
          </cell>
        </row>
        <row r="156">
          <cell r="C156">
            <v>96805</v>
          </cell>
        </row>
        <row r="157">
          <cell r="C157">
            <v>55932</v>
          </cell>
        </row>
        <row r="158">
          <cell r="C158">
            <v>64859</v>
          </cell>
        </row>
        <row r="160">
          <cell r="C160">
            <v>4484</v>
          </cell>
        </row>
        <row r="162">
          <cell r="C162">
            <v>16498</v>
          </cell>
        </row>
        <row r="163">
          <cell r="C163">
            <v>30526</v>
          </cell>
        </row>
        <row r="167">
          <cell r="C167">
            <v>-57208</v>
          </cell>
        </row>
        <row r="168">
          <cell r="C168">
            <v>-48893</v>
          </cell>
        </row>
        <row r="169">
          <cell r="C169">
            <v>-53320</v>
          </cell>
        </row>
        <row r="170">
          <cell r="C170" t="str">
            <v>0</v>
          </cell>
        </row>
        <row r="171">
          <cell r="C171">
            <v>-1841</v>
          </cell>
        </row>
        <row r="172">
          <cell r="C172" t="str">
            <v>0</v>
          </cell>
          <cell r="G172">
            <v>5134250</v>
          </cell>
        </row>
        <row r="173">
          <cell r="C173">
            <v>-15691</v>
          </cell>
        </row>
        <row r="174">
          <cell r="C174">
            <v>-16831</v>
          </cell>
        </row>
        <row r="175">
          <cell r="G175">
            <v>-3354619</v>
          </cell>
        </row>
        <row r="177">
          <cell r="G177">
            <v>137930</v>
          </cell>
        </row>
        <row r="178">
          <cell r="C178">
            <v>451</v>
          </cell>
        </row>
        <row r="187">
          <cell r="C187">
            <v>1373961</v>
          </cell>
        </row>
        <row r="188">
          <cell r="C188">
            <v>149814</v>
          </cell>
        </row>
        <row r="199">
          <cell r="C199">
            <v>53585</v>
          </cell>
        </row>
        <row r="201">
          <cell r="C201">
            <v>1997</v>
          </cell>
        </row>
        <row r="205">
          <cell r="C205">
            <v>15737</v>
          </cell>
        </row>
        <row r="220">
          <cell r="C220">
            <v>8275</v>
          </cell>
        </row>
        <row r="232">
          <cell r="C232">
            <v>88971</v>
          </cell>
        </row>
        <row r="233">
          <cell r="C233">
            <v>19205</v>
          </cell>
        </row>
        <row r="239">
          <cell r="C239">
            <v>62793</v>
          </cell>
        </row>
        <row r="246">
          <cell r="C246">
            <v>4385</v>
          </cell>
        </row>
        <row r="255">
          <cell r="C255">
            <v>0</v>
          </cell>
        </row>
      </sheetData>
      <sheetData sheetId="1">
        <row r="12">
          <cell r="G12">
            <v>0</v>
          </cell>
        </row>
        <row r="15">
          <cell r="G15">
            <v>0</v>
          </cell>
        </row>
        <row r="21">
          <cell r="G21">
            <v>0</v>
          </cell>
        </row>
        <row r="24">
          <cell r="G24">
            <v>45637</v>
          </cell>
        </row>
        <row r="28">
          <cell r="C28">
            <v>773888</v>
          </cell>
        </row>
        <row r="40">
          <cell r="G40">
            <v>0</v>
          </cell>
        </row>
        <row r="51">
          <cell r="G51">
            <v>0</v>
          </cell>
        </row>
        <row r="57">
          <cell r="C57">
            <v>237488</v>
          </cell>
        </row>
        <row r="66">
          <cell r="G66">
            <v>1573612</v>
          </cell>
        </row>
        <row r="71">
          <cell r="C71">
            <v>2340629</v>
          </cell>
        </row>
        <row r="82">
          <cell r="C82">
            <v>151</v>
          </cell>
        </row>
        <row r="83">
          <cell r="G83">
            <v>0</v>
          </cell>
        </row>
        <row r="93">
          <cell r="C93">
            <v>24101</v>
          </cell>
        </row>
        <row r="97">
          <cell r="G97">
            <v>15889</v>
          </cell>
        </row>
        <row r="100">
          <cell r="C100">
            <v>56427</v>
          </cell>
          <cell r="G100">
            <v>0</v>
          </cell>
        </row>
        <row r="104">
          <cell r="C104">
            <v>268</v>
          </cell>
        </row>
        <row r="110">
          <cell r="C110">
            <v>548064</v>
          </cell>
        </row>
        <row r="111">
          <cell r="G111">
            <v>195275</v>
          </cell>
        </row>
        <row r="119">
          <cell r="C119">
            <v>120732</v>
          </cell>
        </row>
        <row r="127">
          <cell r="G127">
            <v>92233</v>
          </cell>
        </row>
        <row r="128">
          <cell r="C128">
            <v>3076</v>
          </cell>
        </row>
        <row r="131">
          <cell r="G131">
            <v>268</v>
          </cell>
        </row>
        <row r="132">
          <cell r="C132">
            <v>97395</v>
          </cell>
        </row>
        <row r="140">
          <cell r="C140">
            <v>21036</v>
          </cell>
        </row>
        <row r="141">
          <cell r="G141">
            <v>2390682</v>
          </cell>
        </row>
        <row r="149">
          <cell r="C149">
            <v>1818174</v>
          </cell>
        </row>
        <row r="156">
          <cell r="G156">
            <v>41673</v>
          </cell>
        </row>
        <row r="158">
          <cell r="G158">
            <v>6</v>
          </cell>
        </row>
        <row r="159">
          <cell r="G159">
            <v>208135</v>
          </cell>
        </row>
        <row r="165">
          <cell r="C165">
            <v>19</v>
          </cell>
        </row>
        <row r="166">
          <cell r="C166">
            <v>253492</v>
          </cell>
          <cell r="G166">
            <v>2079025</v>
          </cell>
        </row>
        <row r="168">
          <cell r="G168">
            <v>7870</v>
          </cell>
        </row>
        <row r="173">
          <cell r="C173">
            <v>220511</v>
          </cell>
        </row>
      </sheetData>
      <sheetData sheetId="4">
        <row r="71">
          <cell r="C71">
            <v>137930</v>
          </cell>
          <cell r="D71">
            <v>545090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30.09.14"/>
      <sheetName val="30.09.13"/>
    </sheetNames>
    <sheetDataSet>
      <sheetData sheetId="0">
        <row r="22">
          <cell r="D22">
            <v>3389734.19348</v>
          </cell>
          <cell r="E22">
            <v>3983660.2211700003</v>
          </cell>
        </row>
        <row r="27">
          <cell r="D27">
            <v>1745.74885</v>
          </cell>
          <cell r="E27">
            <v>3080.21662</v>
          </cell>
        </row>
        <row r="30">
          <cell r="D30">
            <v>338748.86494999996</v>
          </cell>
          <cell r="E30">
            <v>411253.1168</v>
          </cell>
        </row>
        <row r="32">
          <cell r="D32">
            <v>426381.46261</v>
          </cell>
          <cell r="E32">
            <v>439728.06928</v>
          </cell>
        </row>
        <row r="35">
          <cell r="D35">
            <v>674237.1511599999</v>
          </cell>
          <cell r="E35">
            <v>671778.3307700001</v>
          </cell>
        </row>
        <row r="36">
          <cell r="D36">
            <v>539330.7861599997</v>
          </cell>
          <cell r="E36">
            <v>709822.2390800007</v>
          </cell>
        </row>
        <row r="42">
          <cell r="D42">
            <v>342.16206</v>
          </cell>
          <cell r="E42">
            <v>1463.05208</v>
          </cell>
        </row>
        <row r="44">
          <cell r="D44">
            <v>1823285.1963199999</v>
          </cell>
          <cell r="E44">
            <v>793452.28024</v>
          </cell>
        </row>
        <row r="55">
          <cell r="D55">
            <v>1631.282</v>
          </cell>
          <cell r="E55">
            <v>7176.29711</v>
          </cell>
        </row>
        <row r="56">
          <cell r="E56">
            <v>75.09821</v>
          </cell>
        </row>
        <row r="73">
          <cell r="D73">
            <v>1575139.27912</v>
          </cell>
          <cell r="E73">
            <v>1879937.97647</v>
          </cell>
        </row>
        <row r="74">
          <cell r="D74">
            <v>38794.847310000005</v>
          </cell>
        </row>
        <row r="77">
          <cell r="D77">
            <v>2379925.71364</v>
          </cell>
          <cell r="E77">
            <v>221144.77488</v>
          </cell>
        </row>
        <row r="78">
          <cell r="D78">
            <v>786989.31696</v>
          </cell>
          <cell r="E78">
            <v>758473.84879</v>
          </cell>
        </row>
        <row r="81">
          <cell r="D81">
            <v>1061761.7605</v>
          </cell>
          <cell r="E81">
            <v>3331193.0300000003</v>
          </cell>
        </row>
        <row r="83">
          <cell r="D83">
            <v>77.56595999999996</v>
          </cell>
          <cell r="E83">
            <v>53.606029999999976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31.01.14"/>
      <sheetName val="31.01.13"/>
    </sheetNames>
    <sheetDataSet>
      <sheetData sheetId="0">
        <row r="86">
          <cell r="D86">
            <v>1180858</v>
          </cell>
          <cell r="E86">
            <v>571098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60">
      <selection activeCell="A79" sqref="A79:D79"/>
    </sheetView>
  </sheetViews>
  <sheetFormatPr defaultColWidth="9.140625" defaultRowHeight="15"/>
  <cols>
    <col min="1" max="1" width="59.8515625" style="1" customWidth="1"/>
    <col min="2" max="2" width="12.140625" style="1" customWidth="1"/>
    <col min="3" max="3" width="18.57421875" style="1" customWidth="1"/>
    <col min="4" max="4" width="19.28125" style="1" customWidth="1"/>
    <col min="5" max="5" width="18.421875" style="1" customWidth="1"/>
    <col min="6" max="6" width="14.8515625" style="1" bestFit="1" customWidth="1"/>
    <col min="7" max="7" width="23.57421875" style="1" customWidth="1"/>
    <col min="8" max="8" width="10.57421875" style="1" customWidth="1"/>
    <col min="9" max="16384" width="9.140625" style="1" customWidth="1"/>
  </cols>
  <sheetData>
    <row r="1" spans="3:4" ht="52.5" customHeight="1">
      <c r="C1" s="136" t="s">
        <v>0</v>
      </c>
      <c r="D1" s="137"/>
    </row>
    <row r="2" spans="3:4" ht="21" customHeight="1">
      <c r="C2" s="2"/>
      <c r="D2" s="3" t="s">
        <v>1</v>
      </c>
    </row>
    <row r="3" spans="1:4" ht="15.75">
      <c r="A3" s="138" t="s">
        <v>2</v>
      </c>
      <c r="B3" s="138"/>
      <c r="C3" s="138"/>
      <c r="D3" s="138"/>
    </row>
    <row r="4" spans="1:7" ht="15.75">
      <c r="A4" s="139" t="str">
        <f>'[1]1-3 кл'!A2:G2</f>
        <v>Акционерное общество  "БТА Ипотека"</v>
      </c>
      <c r="B4" s="139"/>
      <c r="C4" s="139"/>
      <c r="D4" s="139"/>
      <c r="E4" s="4"/>
      <c r="F4" s="4"/>
      <c r="G4" s="4"/>
    </row>
    <row r="5" spans="1:4" ht="12.75">
      <c r="A5" s="140" t="s">
        <v>3</v>
      </c>
      <c r="B5" s="140"/>
      <c r="C5" s="140"/>
      <c r="D5" s="140"/>
    </row>
    <row r="6" spans="1:4" ht="12.75">
      <c r="A6" s="141" t="str">
        <f>'[1]1-3 кл'!A5:G5</f>
        <v> по состоянию на 01  октября 2014 года</v>
      </c>
      <c r="B6" s="141"/>
      <c r="C6" s="141"/>
      <c r="D6" s="141"/>
    </row>
    <row r="7" s="5" customFormat="1" ht="12.75">
      <c r="D7" s="6" t="s">
        <v>4</v>
      </c>
    </row>
    <row r="8" spans="1:4" ht="39.75" customHeight="1">
      <c r="A8" s="7" t="s">
        <v>5</v>
      </c>
      <c r="B8" s="7" t="s">
        <v>6</v>
      </c>
      <c r="C8" s="7" t="s">
        <v>7</v>
      </c>
      <c r="D8" s="7" t="s">
        <v>8</v>
      </c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ht="12.75">
      <c r="A10" s="9" t="s">
        <v>9</v>
      </c>
      <c r="B10" s="10"/>
      <c r="C10" s="11"/>
      <c r="D10" s="11"/>
    </row>
    <row r="11" spans="1:5" ht="12.75">
      <c r="A11" s="12" t="s">
        <v>10</v>
      </c>
      <c r="B11" s="13">
        <v>1</v>
      </c>
      <c r="C11" s="11">
        <f>'[1]1-3 кл'!C10+'[1]1-3 кл'!C25+'[1]1-3 кл'!C26+'[1]1-3 кл'!C246</f>
        <v>750893</v>
      </c>
      <c r="D11" s="11">
        <v>480858</v>
      </c>
      <c r="E11" s="31"/>
    </row>
    <row r="12" spans="1:4" ht="12.75">
      <c r="A12" s="14" t="s">
        <v>11</v>
      </c>
      <c r="B12" s="13">
        <v>2</v>
      </c>
      <c r="C12" s="11">
        <f>'[1]1-3 кл'!C20+'[1]1-3 кл'!C180</f>
        <v>0</v>
      </c>
      <c r="D12" s="11"/>
    </row>
    <row r="13" spans="1:7" s="34" customFormat="1" ht="27.75" customHeight="1">
      <c r="A13" s="15" t="s">
        <v>12</v>
      </c>
      <c r="B13" s="13">
        <v>3</v>
      </c>
      <c r="C13" s="16">
        <f>'[1]1-3 кл'!C38+'[1]1-3 кл'!C189</f>
        <v>0</v>
      </c>
      <c r="D13" s="16">
        <v>186</v>
      </c>
      <c r="E13" s="32"/>
      <c r="F13" s="33"/>
      <c r="G13" s="33"/>
    </row>
    <row r="14" spans="1:4" ht="12.75">
      <c r="A14" s="14" t="s">
        <v>13</v>
      </c>
      <c r="B14" s="17" t="s">
        <v>14</v>
      </c>
      <c r="C14" s="11">
        <f>'[1]1-3 кл'!C255+'[1]1-3 кл'!C197</f>
        <v>0</v>
      </c>
      <c r="D14" s="11"/>
    </row>
    <row r="15" spans="1:7" ht="25.5">
      <c r="A15" s="14" t="s">
        <v>15</v>
      </c>
      <c r="B15" s="13">
        <v>5</v>
      </c>
      <c r="C15" s="16">
        <f>'[1]1-3 кл'!C114+'[1]1-3 кл'!C191</f>
        <v>0</v>
      </c>
      <c r="D15" s="16"/>
      <c r="F15" s="35"/>
      <c r="G15" s="35"/>
    </row>
    <row r="16" spans="1:5" ht="12.75">
      <c r="A16" s="14" t="s">
        <v>16</v>
      </c>
      <c r="B16" s="13">
        <v>6</v>
      </c>
      <c r="C16" s="11">
        <f>'[1]1-3 кл'!C201+'[1]1-3 кл'!C232-'[1]1-3 кл'!C233-'[1]1-3 кл'!C239-'[1]1-3 кл'!C246</f>
        <v>4585</v>
      </c>
      <c r="D16" s="16">
        <v>8072</v>
      </c>
      <c r="E16" s="31"/>
    </row>
    <row r="17" spans="1:4" ht="12.75">
      <c r="A17" s="14" t="s">
        <v>17</v>
      </c>
      <c r="B17" s="13">
        <v>7</v>
      </c>
      <c r="C17" s="11"/>
      <c r="D17" s="11"/>
    </row>
    <row r="18" spans="1:4" ht="12.75">
      <c r="A18" s="14" t="s">
        <v>18</v>
      </c>
      <c r="B18" s="13"/>
      <c r="C18" s="11"/>
      <c r="D18" s="11"/>
    </row>
    <row r="19" spans="1:4" ht="12.75">
      <c r="A19" s="14" t="s">
        <v>19</v>
      </c>
      <c r="B19" s="17" t="s">
        <v>20</v>
      </c>
      <c r="C19" s="11"/>
      <c r="D19" s="11"/>
    </row>
    <row r="20" spans="1:4" ht="12.75">
      <c r="A20" s="14" t="s">
        <v>21</v>
      </c>
      <c r="B20" s="17" t="s">
        <v>22</v>
      </c>
      <c r="C20" s="11"/>
      <c r="D20" s="11"/>
    </row>
    <row r="21" spans="1:7" ht="25.5">
      <c r="A21" s="14" t="s">
        <v>23</v>
      </c>
      <c r="B21" s="17" t="s">
        <v>24</v>
      </c>
      <c r="C21" s="16">
        <f>'[1]1-3 кл'!C132+'[1]1-3 кл'!C190</f>
        <v>0</v>
      </c>
      <c r="D21" s="11"/>
      <c r="E21" s="36"/>
      <c r="F21" s="35"/>
      <c r="G21" s="35"/>
    </row>
    <row r="22" spans="1:5" ht="12.75">
      <c r="A22" s="14" t="s">
        <v>25</v>
      </c>
      <c r="B22" s="13">
        <v>9</v>
      </c>
      <c r="C22" s="11">
        <f>'[1]1-3 кл'!C122+'[1]1-3 кл'!C193</f>
        <v>0</v>
      </c>
      <c r="D22" s="11"/>
      <c r="E22" s="31"/>
    </row>
    <row r="23" spans="1:5" ht="12.75">
      <c r="A23" s="14" t="s">
        <v>26</v>
      </c>
      <c r="B23" s="13">
        <v>10</v>
      </c>
      <c r="C23" s="11">
        <f>'[1]1-3 кл'!C27+'[1]1-3 кл'!C28+'[1]1-3 кл'!C29+'[1]1-3 кл'!C45+'[1]1-3 кл'!C177+'[1]1-3 кл'!C178+'[1]1-3 кл'!C179+'[1]1-3 кл'!C181+'[1]1-3 кл'!C176</f>
        <v>1050451</v>
      </c>
      <c r="D23" s="11">
        <v>700460</v>
      </c>
      <c r="E23" s="31"/>
    </row>
    <row r="24" spans="1:4" ht="25.5">
      <c r="A24" s="14" t="s">
        <v>27</v>
      </c>
      <c r="B24" s="13">
        <v>11</v>
      </c>
      <c r="C24" s="11"/>
      <c r="D24" s="11"/>
    </row>
    <row r="25" spans="1:5" ht="12.75">
      <c r="A25" s="14" t="s">
        <v>28</v>
      </c>
      <c r="B25" s="13">
        <v>12</v>
      </c>
      <c r="C25" s="11">
        <f>'[1]1-3 кл'!C62+'[1]1-3 кл'!C75+'[1]1-3 кл'!C91+'[1]1-3 кл'!C182+'[1]1-3 кл'!C183+'[1]1-3 кл'!C184+'[1]1-3 кл'!C185+'[1]1-3 кл'!C187+'[1]1-3 кл'!C188+'[1]1-3 кл'!C196+'[1]1-3 кл'!C216</f>
        <v>14197302</v>
      </c>
      <c r="D25" s="11">
        <v>16697917</v>
      </c>
      <c r="E25" s="31"/>
    </row>
    <row r="26" spans="1:4" ht="12.75">
      <c r="A26" s="14" t="s">
        <v>29</v>
      </c>
      <c r="B26" s="13">
        <v>13</v>
      </c>
      <c r="C26" s="11">
        <f>'[1]1-3 кл'!C166</f>
        <v>0</v>
      </c>
      <c r="D26" s="11"/>
    </row>
    <row r="27" spans="1:5" ht="25.5">
      <c r="A27" s="14" t="s">
        <v>30</v>
      </c>
      <c r="B27" s="13">
        <v>14</v>
      </c>
      <c r="C27" s="11">
        <f>'[1]1-3 кл'!C126+'[1]1-3 кл'!C192</f>
        <v>0</v>
      </c>
      <c r="D27" s="11"/>
      <c r="E27" s="31"/>
    </row>
    <row r="28" spans="1:4" ht="12.75">
      <c r="A28" s="14" t="s">
        <v>31</v>
      </c>
      <c r="B28" s="13">
        <v>15</v>
      </c>
      <c r="C28" s="11">
        <f>'[1]1-3 кл'!C147</f>
        <v>5789082</v>
      </c>
      <c r="D28" s="11">
        <v>7298173</v>
      </c>
    </row>
    <row r="29" spans="1:5" ht="25.5">
      <c r="A29" s="14" t="s">
        <v>32</v>
      </c>
      <c r="B29" s="13">
        <v>16</v>
      </c>
      <c r="C29" s="11"/>
      <c r="D29" s="11"/>
      <c r="E29" s="37"/>
    </row>
    <row r="30" spans="1:5" ht="25.5">
      <c r="A30" s="14" t="s">
        <v>33</v>
      </c>
      <c r="B30" s="13">
        <v>17</v>
      </c>
      <c r="C30" s="11">
        <f>'[1]1-3 кл'!C163+'[1]1-3 кл'!C174</f>
        <v>13695</v>
      </c>
      <c r="D30" s="11">
        <v>18487</v>
      </c>
      <c r="E30" s="31"/>
    </row>
    <row r="31" spans="1:5" ht="12.75">
      <c r="A31" s="18" t="s">
        <v>34</v>
      </c>
      <c r="B31" s="13">
        <v>18</v>
      </c>
      <c r="C31" s="11">
        <f>'[1]1-3 кл'!C155+'[1]1-3 кл'!C156+'[1]1-3 кл'!C157+'[1]1-3 кл'!C158+'[1]1-3 кл'!C159+'[1]1-3 кл'!C160+'[1]1-3 кл'!C161+'[1]1-3 кл'!C162+'[1]1-3 кл'!C167+'[1]1-3 кл'!C168+'[1]1-3 кл'!C169+'[1]1-3 кл'!C170+'[1]1-3 кл'!C171+'[1]1-3 кл'!C172+'[1]1-3 кл'!C173</f>
        <v>61625</v>
      </c>
      <c r="D31" s="11">
        <v>76344</v>
      </c>
      <c r="E31" s="31"/>
    </row>
    <row r="32" spans="1:4" ht="12.75">
      <c r="A32" s="14" t="s">
        <v>35</v>
      </c>
      <c r="B32" s="13">
        <v>19</v>
      </c>
      <c r="C32" s="11">
        <f>'[1]1-3 кл'!C233</f>
        <v>19205</v>
      </c>
      <c r="D32" s="11">
        <v>1279</v>
      </c>
    </row>
    <row r="33" spans="1:4" ht="12.75">
      <c r="A33" s="14" t="s">
        <v>36</v>
      </c>
      <c r="B33" s="13">
        <v>20</v>
      </c>
      <c r="C33" s="11">
        <f>'[1]1-3 кл'!C239</f>
        <v>62793</v>
      </c>
      <c r="D33" s="11">
        <v>62882</v>
      </c>
    </row>
    <row r="34" spans="1:4" ht="12.75">
      <c r="A34" s="14" t="s">
        <v>37</v>
      </c>
      <c r="B34" s="13"/>
      <c r="C34" s="11">
        <f>'[1]1-3 кл'!C138</f>
        <v>396501</v>
      </c>
      <c r="D34" s="11">
        <v>204105</v>
      </c>
    </row>
    <row r="35" spans="1:4" ht="12.75">
      <c r="A35" s="14" t="s">
        <v>38</v>
      </c>
      <c r="B35" s="13">
        <v>21</v>
      </c>
      <c r="C35" s="11">
        <f>'[1]1-3 кл'!C199+'[1]1-3 кл'!C87+'[1]1-3 кл'!C205+'[1]1-3 кл'!C220</f>
        <v>77608</v>
      </c>
      <c r="D35" s="11">
        <v>71132</v>
      </c>
    </row>
    <row r="36" spans="1:6" ht="12.75">
      <c r="A36" s="14"/>
      <c r="B36" s="13"/>
      <c r="C36" s="11"/>
      <c r="D36" s="11"/>
      <c r="F36" s="31"/>
    </row>
    <row r="37" spans="1:5" ht="12.75">
      <c r="A37" s="19" t="s">
        <v>39</v>
      </c>
      <c r="B37" s="13">
        <v>22</v>
      </c>
      <c r="C37" s="20">
        <f>C11+C12+C13+C14+C15+C16+C17+C21+C22+C23+C24+C25+C26+C27+C28+C29+C30+C31+C32+C33+C34+C35</f>
        <v>22423740</v>
      </c>
      <c r="D37" s="20">
        <f>D11+D12+D13+D14+D15+D16+D17+D21+D22+D23+D24+D25+D26+D27+D28+D29+D30+D31+D32+D33+D34+D35</f>
        <v>25619895</v>
      </c>
      <c r="E37" s="38"/>
    </row>
    <row r="38" spans="1:5" ht="12.75">
      <c r="A38" s="14"/>
      <c r="B38" s="13"/>
      <c r="C38" s="11"/>
      <c r="D38" s="11"/>
      <c r="E38" s="38"/>
    </row>
    <row r="39" spans="1:4" ht="12.75">
      <c r="A39" s="21" t="s">
        <v>40</v>
      </c>
      <c r="B39" s="13"/>
      <c r="C39" s="11"/>
      <c r="D39" s="11"/>
    </row>
    <row r="40" spans="1:5" ht="12.75">
      <c r="A40" s="22" t="s">
        <v>41</v>
      </c>
      <c r="B40" s="13">
        <v>23</v>
      </c>
      <c r="C40" s="11">
        <f>'[1]1-3 кл'!G44+'[1]1-3 кл'!G50</f>
        <v>0</v>
      </c>
      <c r="D40" s="11"/>
      <c r="E40" s="39"/>
    </row>
    <row r="41" spans="1:4" ht="12.75">
      <c r="A41" s="14" t="s">
        <v>13</v>
      </c>
      <c r="B41" s="13">
        <v>24</v>
      </c>
      <c r="C41" s="11">
        <f>'[1]1-3 кл'!G137+'[1]1-3 кл'!G81</f>
        <v>0</v>
      </c>
      <c r="D41" s="11">
        <v>1215</v>
      </c>
    </row>
    <row r="42" spans="1:4" ht="12.75">
      <c r="A42" s="22" t="s">
        <v>42</v>
      </c>
      <c r="B42" s="13">
        <v>25</v>
      </c>
      <c r="C42" s="11">
        <f>'[1]1-3 кл'!G55+'[1]1-3 кл'!G82+'[1]1-3 кл'!G86</f>
        <v>4893815</v>
      </c>
      <c r="D42" s="11">
        <v>5718090</v>
      </c>
    </row>
    <row r="43" spans="1:5" ht="12.75">
      <c r="A43" s="14" t="s">
        <v>43</v>
      </c>
      <c r="B43" s="13">
        <v>26</v>
      </c>
      <c r="C43" s="11">
        <f>'[1]1-3 кл'!G53+'[1]1-3 кл'!G80</f>
        <v>0</v>
      </c>
      <c r="D43" s="11"/>
      <c r="E43" s="31"/>
    </row>
    <row r="44" spans="1:5" ht="12.75">
      <c r="A44" s="22" t="s">
        <v>44</v>
      </c>
      <c r="B44" s="13">
        <v>27</v>
      </c>
      <c r="C44" s="11">
        <f>'[1]1-3 кл'!G10+'[1]1-3 кл'!G16+'[1]1-3 кл'!G24+'[1]1-3 кл'!G40+'[1]1-3 кл'!G73+'[1]1-3 кл'!G74+'[1]1-3 кл'!G75+'[1]1-3 кл'!G76+'[1]1-3 кл'!G78+'[1]1-3 кл'!G85+'[1]1-3 кл'!G87</f>
        <v>9694388</v>
      </c>
      <c r="D44" s="11">
        <v>12087416</v>
      </c>
      <c r="E44" s="39"/>
    </row>
    <row r="45" spans="1:4" ht="12.75">
      <c r="A45" s="22" t="s">
        <v>45</v>
      </c>
      <c r="B45" s="13">
        <v>28</v>
      </c>
      <c r="C45" s="11">
        <f>'[1]1-3 кл'!G114-'[1]1-3 кл'!G121-'[1]1-3 кл'!G115</f>
        <v>281319</v>
      </c>
      <c r="D45" s="11">
        <v>351858</v>
      </c>
    </row>
    <row r="46" spans="1:4" ht="12.75">
      <c r="A46" s="12" t="s">
        <v>46</v>
      </c>
      <c r="B46" s="13">
        <v>29</v>
      </c>
      <c r="C46" s="11"/>
      <c r="D46" s="11"/>
    </row>
    <row r="47" spans="1:5" ht="12.75">
      <c r="A47" s="14" t="s">
        <v>18</v>
      </c>
      <c r="B47" s="13"/>
      <c r="C47" s="11"/>
      <c r="D47" s="11"/>
      <c r="E47" s="39"/>
    </row>
    <row r="48" spans="1:5" ht="25.5">
      <c r="A48" s="12" t="s">
        <v>47</v>
      </c>
      <c r="B48" s="17" t="s">
        <v>48</v>
      </c>
      <c r="C48" s="11"/>
      <c r="D48" s="11"/>
      <c r="E48" s="39"/>
    </row>
    <row r="49" spans="1:4" ht="12.75">
      <c r="A49" s="12" t="s">
        <v>49</v>
      </c>
      <c r="B49" s="13">
        <v>30</v>
      </c>
      <c r="C49" s="11"/>
      <c r="D49" s="11"/>
    </row>
    <row r="50" spans="1:5" ht="12.75">
      <c r="A50" s="12" t="s">
        <v>50</v>
      </c>
      <c r="B50" s="13">
        <v>31</v>
      </c>
      <c r="C50" s="11">
        <f>'[1]1-3 кл'!G61+'[1]1-3 кл'!G84+'[1]1-3 кл'!G90</f>
        <v>0</v>
      </c>
      <c r="D50" s="11"/>
      <c r="E50" s="39"/>
    </row>
    <row r="51" spans="1:4" ht="12.75">
      <c r="A51" s="14" t="s">
        <v>51</v>
      </c>
      <c r="B51" s="23" t="s">
        <v>52</v>
      </c>
      <c r="C51" s="11">
        <f>'[1]1-3 кл'!G115</f>
        <v>21123</v>
      </c>
      <c r="D51" s="11">
        <v>66019</v>
      </c>
    </row>
    <row r="52" spans="1:4" ht="12.75">
      <c r="A52" s="14" t="s">
        <v>53</v>
      </c>
      <c r="B52" s="23" t="s">
        <v>54</v>
      </c>
      <c r="C52" s="11">
        <f>'[1]1-3 кл'!G121</f>
        <v>0</v>
      </c>
      <c r="D52" s="11"/>
    </row>
    <row r="53" spans="1:5" ht="12.75">
      <c r="A53" s="14" t="s">
        <v>55</v>
      </c>
      <c r="B53" s="23" t="s">
        <v>56</v>
      </c>
      <c r="C53" s="24">
        <f>'[1]1-3 кл'!G83+'[1]1-3 кл'!G92+'[1]1-3 кл'!G94+'[1]1-3 кл'!G99</f>
        <v>530</v>
      </c>
      <c r="D53" s="11">
        <v>662</v>
      </c>
      <c r="E53" s="38"/>
    </row>
    <row r="54" spans="1:5" ht="12.75">
      <c r="A54" s="14"/>
      <c r="B54" s="23"/>
      <c r="C54" s="11"/>
      <c r="D54" s="11"/>
      <c r="E54" s="27"/>
    </row>
    <row r="55" spans="1:4" ht="12.75">
      <c r="A55" s="19" t="s">
        <v>57</v>
      </c>
      <c r="B55" s="13">
        <v>35</v>
      </c>
      <c r="C55" s="20">
        <f>C40+C41+C42+C43+C44+C45+C46+C49+C50+C51+C52+C53</f>
        <v>14891175</v>
      </c>
      <c r="D55" s="20">
        <f>D40+D41+D42+D43+D44+D45+D46+D49+D50+D51+D52+D53</f>
        <v>18225260</v>
      </c>
    </row>
    <row r="56" spans="1:4" ht="12.75">
      <c r="A56" s="19"/>
      <c r="B56" s="13"/>
      <c r="C56" s="11"/>
      <c r="D56" s="11"/>
    </row>
    <row r="57" spans="1:4" ht="12.75">
      <c r="A57" s="19" t="s">
        <v>58</v>
      </c>
      <c r="B57" s="13"/>
      <c r="C57" s="11"/>
      <c r="D57" s="11"/>
    </row>
    <row r="58" spans="1:7" ht="12.75">
      <c r="A58" s="14" t="s">
        <v>59</v>
      </c>
      <c r="B58" s="13">
        <v>36</v>
      </c>
      <c r="C58" s="11">
        <f>'[1]1-3 кл'!G147+'[1]1-3 кл'!G149</f>
        <v>5615004</v>
      </c>
      <c r="D58" s="11">
        <v>5615004</v>
      </c>
      <c r="G58" s="39"/>
    </row>
    <row r="59" spans="1:4" ht="12.75">
      <c r="A59" s="14" t="s">
        <v>18</v>
      </c>
      <c r="B59" s="13"/>
      <c r="C59" s="11"/>
      <c r="D59" s="11"/>
    </row>
    <row r="60" spans="1:4" ht="12.75">
      <c r="A60" s="22" t="s">
        <v>60</v>
      </c>
      <c r="B60" s="17" t="s">
        <v>61</v>
      </c>
      <c r="C60" s="11">
        <f>'[1]1-3 кл'!G147</f>
        <v>5615004</v>
      </c>
      <c r="D60" s="11">
        <v>5615004</v>
      </c>
    </row>
    <row r="61" spans="1:4" ht="12.75">
      <c r="A61" s="14" t="s">
        <v>62</v>
      </c>
      <c r="B61" s="17" t="s">
        <v>63</v>
      </c>
      <c r="C61" s="11">
        <f>'[1]1-3 кл'!G149</f>
        <v>0</v>
      </c>
      <c r="D61" s="11"/>
    </row>
    <row r="62" spans="1:4" ht="12.75">
      <c r="A62" s="14" t="s">
        <v>64</v>
      </c>
      <c r="B62" s="13">
        <v>37</v>
      </c>
      <c r="C62" s="11">
        <f>'[1]1-3 кл'!G151</f>
        <v>0</v>
      </c>
      <c r="D62" s="11"/>
    </row>
    <row r="63" spans="1:4" ht="12.75">
      <c r="A63" s="14" t="s">
        <v>65</v>
      </c>
      <c r="B63" s="13">
        <v>38</v>
      </c>
      <c r="C63" s="11">
        <f>('[1]1-3 кл'!G148)+('[1]1-3 кл'!G150)</f>
        <v>0</v>
      </c>
      <c r="D63" s="11"/>
    </row>
    <row r="64" spans="1:4" ht="12.75">
      <c r="A64" s="14" t="s">
        <v>66</v>
      </c>
      <c r="B64" s="13">
        <v>39</v>
      </c>
      <c r="C64" s="11">
        <f>'[1]1-3 кл'!G172</f>
        <v>5134250</v>
      </c>
      <c r="D64" s="11">
        <v>5134250</v>
      </c>
    </row>
    <row r="65" spans="1:5" ht="12.75">
      <c r="A65" s="14" t="s">
        <v>67</v>
      </c>
      <c r="B65" s="13">
        <v>40</v>
      </c>
      <c r="C65" s="11"/>
      <c r="D65" s="11"/>
      <c r="E65" s="39"/>
    </row>
    <row r="66" spans="1:5" ht="38.25">
      <c r="A66" s="14" t="s">
        <v>68</v>
      </c>
      <c r="B66" s="13">
        <v>41</v>
      </c>
      <c r="C66" s="16">
        <f>'[1]1-3 кл'!G155</f>
        <v>0</v>
      </c>
      <c r="D66" s="11"/>
      <c r="E66" s="39"/>
    </row>
    <row r="67" spans="1:4" ht="12.75">
      <c r="A67" s="14" t="s">
        <v>69</v>
      </c>
      <c r="B67" s="13">
        <v>42</v>
      </c>
      <c r="C67" s="20">
        <f>'[1]1-3 кл'!G174+'[1]1-3 кл'!G173</f>
        <v>0</v>
      </c>
      <c r="D67" s="11"/>
    </row>
    <row r="68" spans="1:5" ht="12.75">
      <c r="A68" s="14" t="s">
        <v>70</v>
      </c>
      <c r="B68" s="25">
        <v>43</v>
      </c>
      <c r="C68" s="11">
        <f>C70+C71</f>
        <v>-3216689</v>
      </c>
      <c r="D68" s="11">
        <f>D70+D71</f>
        <v>-3354619</v>
      </c>
      <c r="E68" s="39"/>
    </row>
    <row r="69" spans="1:4" ht="12.75">
      <c r="A69" s="14" t="s">
        <v>71</v>
      </c>
      <c r="B69" s="25"/>
      <c r="C69" s="11"/>
      <c r="D69" s="11"/>
    </row>
    <row r="70" spans="1:4" ht="12.75" customHeight="1">
      <c r="A70" s="1" t="s">
        <v>72</v>
      </c>
      <c r="B70" s="17" t="s">
        <v>73</v>
      </c>
      <c r="C70" s="11">
        <f>'[1]1-3 кл'!G175</f>
        <v>-3354619</v>
      </c>
      <c r="D70" s="11">
        <v>-3899709</v>
      </c>
    </row>
    <row r="71" spans="1:7" ht="15.75">
      <c r="A71" s="14" t="s">
        <v>74</v>
      </c>
      <c r="B71" s="17" t="s">
        <v>75</v>
      </c>
      <c r="C71" s="11">
        <f>'[1]1-3 кл'!G177</f>
        <v>137930</v>
      </c>
      <c r="D71" s="11">
        <v>545090</v>
      </c>
      <c r="E71" s="27"/>
      <c r="G71" s="40"/>
    </row>
    <row r="72" spans="1:6" ht="12.75">
      <c r="A72" s="14" t="s">
        <v>76</v>
      </c>
      <c r="B72" s="25">
        <v>44</v>
      </c>
      <c r="C72" s="11"/>
      <c r="D72" s="11"/>
      <c r="E72" s="38"/>
      <c r="F72" s="39"/>
    </row>
    <row r="73" spans="1:5" ht="12.75">
      <c r="A73" s="14"/>
      <c r="B73" s="25"/>
      <c r="C73" s="11"/>
      <c r="D73" s="11"/>
      <c r="E73" s="27"/>
    </row>
    <row r="74" spans="1:7" ht="12.75">
      <c r="A74" s="19" t="s">
        <v>77</v>
      </c>
      <c r="B74" s="25">
        <v>45</v>
      </c>
      <c r="C74" s="20">
        <f>C58+C62+C63+C64+C65+C66+C67+C68-C72</f>
        <v>7532565</v>
      </c>
      <c r="D74" s="20">
        <f>D58+D62+D63+D64+D65+D66+D67+D68-D72</f>
        <v>7394635</v>
      </c>
      <c r="E74" s="38"/>
      <c r="F74" s="30"/>
      <c r="G74" s="39"/>
    </row>
    <row r="75" spans="1:5" ht="12.75">
      <c r="A75" s="19"/>
      <c r="B75" s="25"/>
      <c r="C75" s="20"/>
      <c r="D75" s="20"/>
      <c r="E75" s="38"/>
    </row>
    <row r="76" spans="1:5" ht="12.75">
      <c r="A76" s="19" t="s">
        <v>78</v>
      </c>
      <c r="B76" s="25">
        <v>46</v>
      </c>
      <c r="C76" s="20">
        <f>C55+C74</f>
        <v>22423740</v>
      </c>
      <c r="D76" s="20">
        <f>D55+D74</f>
        <v>25619895</v>
      </c>
      <c r="E76" s="38"/>
    </row>
    <row r="77" spans="1:4" ht="12.75">
      <c r="A77" s="1" t="s">
        <v>79</v>
      </c>
      <c r="C77" s="26">
        <f>SUM(C76-C55-C30)/55000</f>
        <v>136.70672727272728</v>
      </c>
      <c r="D77" s="27"/>
    </row>
    <row r="78" spans="1:6" ht="12.75">
      <c r="A78" s="142"/>
      <c r="B78" s="142"/>
      <c r="C78" s="142"/>
      <c r="D78" s="142"/>
      <c r="F78" s="39"/>
    </row>
    <row r="79" spans="1:4" ht="12.75">
      <c r="A79" s="135" t="s">
        <v>80</v>
      </c>
      <c r="B79" s="135"/>
      <c r="C79" s="135"/>
      <c r="D79" s="135"/>
    </row>
    <row r="80" ht="12.75">
      <c r="A80" s="28"/>
    </row>
    <row r="81" spans="1:4" ht="12.75">
      <c r="A81" s="28" t="s">
        <v>81</v>
      </c>
      <c r="D81" s="1" t="s">
        <v>82</v>
      </c>
    </row>
    <row r="82" ht="12.75">
      <c r="A82" s="28"/>
    </row>
    <row r="83" spans="1:4" ht="12.75">
      <c r="A83" s="29" t="s">
        <v>83</v>
      </c>
      <c r="D83" s="1" t="s">
        <v>82</v>
      </c>
    </row>
    <row r="84" ht="12.75">
      <c r="A84" s="28"/>
    </row>
    <row r="85" spans="1:4" ht="12.75">
      <c r="A85" s="28" t="s">
        <v>84</v>
      </c>
      <c r="D85" s="1" t="s">
        <v>82</v>
      </c>
    </row>
    <row r="86" ht="12.75">
      <c r="A86" s="28"/>
    </row>
    <row r="87" spans="1:4" ht="11.25" customHeight="1">
      <c r="A87" s="1" t="s">
        <v>85</v>
      </c>
      <c r="C87" s="30"/>
      <c r="D87" s="30"/>
    </row>
    <row r="88" ht="24.75" customHeight="1">
      <c r="A88" s="28" t="s">
        <v>86</v>
      </c>
    </row>
    <row r="89" ht="12.75">
      <c r="A89" s="28"/>
    </row>
    <row r="90" ht="12.75">
      <c r="A90" s="28"/>
    </row>
  </sheetData>
  <sheetProtection/>
  <mergeCells count="7">
    <mergeCell ref="A79:D79"/>
    <mergeCell ref="C1:D1"/>
    <mergeCell ref="A3:D3"/>
    <mergeCell ref="A4:D4"/>
    <mergeCell ref="A5:D5"/>
    <mergeCell ref="A6:D6"/>
    <mergeCell ref="A78:D78"/>
  </mergeCells>
  <printOptions/>
  <pageMargins left="1.25" right="0.7086614173228347" top="0.35" bottom="0.32" header="0.17" footer="0.1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67">
      <selection activeCell="D87" sqref="D87"/>
    </sheetView>
  </sheetViews>
  <sheetFormatPr defaultColWidth="9.140625" defaultRowHeight="15"/>
  <cols>
    <col min="1" max="1" width="57.8515625" style="1" customWidth="1"/>
    <col min="2" max="2" width="10.8515625" style="1" customWidth="1"/>
    <col min="3" max="3" width="15.28125" style="1" customWidth="1"/>
    <col min="4" max="4" width="15.421875" style="1" customWidth="1"/>
    <col min="5" max="5" width="16.00390625" style="1" customWidth="1"/>
    <col min="6" max="6" width="21.421875" style="1" customWidth="1"/>
    <col min="7" max="7" width="21.00390625" style="1" customWidth="1"/>
    <col min="8" max="16384" width="9.140625" style="1" customWidth="1"/>
  </cols>
  <sheetData>
    <row r="1" spans="5:6" ht="52.5" customHeight="1">
      <c r="E1" s="136" t="s">
        <v>87</v>
      </c>
      <c r="F1" s="137"/>
    </row>
    <row r="2" spans="5:6" ht="23.25" customHeight="1">
      <c r="E2" s="2"/>
      <c r="F2" s="3" t="s">
        <v>88</v>
      </c>
    </row>
    <row r="3" spans="1:6" ht="12.75">
      <c r="A3" s="141" t="s">
        <v>89</v>
      </c>
      <c r="B3" s="141"/>
      <c r="C3" s="141"/>
      <c r="D3" s="141"/>
      <c r="E3" s="141"/>
      <c r="F3" s="141"/>
    </row>
    <row r="4" spans="1:6" ht="12.75">
      <c r="A4" s="141" t="str">
        <f>'[1]1-3 кл'!A2:G2</f>
        <v>Акционерное общество  "БТА Ипотека"</v>
      </c>
      <c r="B4" s="141"/>
      <c r="C4" s="141"/>
      <c r="D4" s="141"/>
      <c r="E4" s="141"/>
      <c r="F4" s="141"/>
    </row>
    <row r="5" spans="1:6" ht="12.75">
      <c r="A5" s="140" t="s">
        <v>3</v>
      </c>
      <c r="B5" s="140"/>
      <c r="C5" s="140"/>
      <c r="D5" s="140"/>
      <c r="E5" s="140"/>
      <c r="F5" s="140"/>
    </row>
    <row r="6" spans="1:6" ht="12.75">
      <c r="A6" s="141" t="str">
        <f>'[1]1-3 кл'!A5:G5</f>
        <v> по состоянию на 01  октября 2014 года</v>
      </c>
      <c r="B6" s="141"/>
      <c r="C6" s="141"/>
      <c r="D6" s="141"/>
      <c r="E6" s="141"/>
      <c r="F6" s="141"/>
    </row>
    <row r="7" spans="1:6" s="5" customFormat="1" ht="12.75">
      <c r="A7" s="41"/>
      <c r="B7" s="41"/>
      <c r="C7" s="41"/>
      <c r="D7" s="41"/>
      <c r="E7" s="41"/>
      <c r="F7" s="41"/>
    </row>
    <row r="8" s="5" customFormat="1" ht="12.75">
      <c r="F8" s="6" t="s">
        <v>90</v>
      </c>
    </row>
    <row r="9" spans="1:8" ht="63.75">
      <c r="A9" s="7" t="s">
        <v>5</v>
      </c>
      <c r="B9" s="7" t="s">
        <v>6</v>
      </c>
      <c r="C9" s="7" t="s">
        <v>91</v>
      </c>
      <c r="D9" s="7" t="s">
        <v>92</v>
      </c>
      <c r="E9" s="7" t="s">
        <v>93</v>
      </c>
      <c r="F9" s="7" t="s">
        <v>94</v>
      </c>
      <c r="G9" s="42"/>
      <c r="H9" s="43"/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12" ht="15" customHeight="1">
      <c r="A11" s="44" t="s">
        <v>95</v>
      </c>
      <c r="B11" s="45">
        <v>1</v>
      </c>
      <c r="C11" s="46">
        <f>C13+C14+C15+C16+C17+C18+C19</f>
        <v>707480</v>
      </c>
      <c r="D11" s="20">
        <f>D13+D14+D15+D16+D17+D18+D19</f>
        <v>1635138</v>
      </c>
      <c r="E11" s="20">
        <f>E13+E14+E15+E16+E17+E18+E19</f>
        <v>642468</v>
      </c>
      <c r="F11" s="20">
        <f>F13+F14+F15+F16+F17+F18+F19</f>
        <v>1793457</v>
      </c>
      <c r="L11" s="40"/>
    </row>
    <row r="12" spans="1:8" ht="15.75" customHeight="1">
      <c r="A12" s="47" t="s">
        <v>71</v>
      </c>
      <c r="B12" s="48"/>
      <c r="C12" s="11"/>
      <c r="D12" s="11"/>
      <c r="E12" s="11"/>
      <c r="F12" s="11"/>
      <c r="G12" s="49"/>
      <c r="H12" s="38"/>
    </row>
    <row r="13" spans="1:7" ht="15.75" customHeight="1">
      <c r="A13" s="47" t="s">
        <v>96</v>
      </c>
      <c r="B13" s="50" t="s">
        <v>97</v>
      </c>
      <c r="C13" s="51"/>
      <c r="D13" s="11">
        <f>'[1]4-5 кл'!G12</f>
        <v>0</v>
      </c>
      <c r="E13" s="11"/>
      <c r="F13" s="11"/>
      <c r="G13" s="31"/>
    </row>
    <row r="14" spans="1:6" ht="12.75">
      <c r="A14" s="47" t="s">
        <v>98</v>
      </c>
      <c r="B14" s="50" t="s">
        <v>99</v>
      </c>
      <c r="C14" s="51">
        <f>D14-29721</f>
        <v>15916</v>
      </c>
      <c r="D14" s="11">
        <f>'[1]4-5 кл'!G24+'[1]4-5 кл'!G15</f>
        <v>45637</v>
      </c>
      <c r="E14" s="11"/>
      <c r="F14" s="11"/>
    </row>
    <row r="15" spans="1:6" ht="12.75">
      <c r="A15" s="47" t="s">
        <v>100</v>
      </c>
      <c r="B15" s="50" t="s">
        <v>101</v>
      </c>
      <c r="C15" s="51">
        <f>D15-890997</f>
        <v>682615</v>
      </c>
      <c r="D15" s="11">
        <f>'[1]4-5 кл'!G40+'[1]4-5 кл'!G51+'[1]4-5 кл'!G66</f>
        <v>1573612</v>
      </c>
      <c r="E15" s="11">
        <v>642468</v>
      </c>
      <c r="F15" s="11">
        <v>1793457</v>
      </c>
    </row>
    <row r="16" spans="1:6" ht="12.75">
      <c r="A16" s="47" t="s">
        <v>102</v>
      </c>
      <c r="B16" s="50" t="s">
        <v>103</v>
      </c>
      <c r="C16" s="51"/>
      <c r="D16" s="11"/>
      <c r="E16" s="11"/>
      <c r="F16" s="11"/>
    </row>
    <row r="17" spans="1:8" ht="12.75" customHeight="1">
      <c r="A17" s="47" t="s">
        <v>104</v>
      </c>
      <c r="B17" s="50" t="s">
        <v>105</v>
      </c>
      <c r="C17" s="51"/>
      <c r="D17" s="11">
        <f>'[1]4-5 кл'!G21+'[1]4-5 кл'!G83+'[1]4-5 кл'!G90+'[1]4-5 кл'!G91+'[1]4-5 кл'!G94+'[1]4-5 кл'!G95+'[1]4-5 кл'!G96</f>
        <v>0</v>
      </c>
      <c r="E17" s="11"/>
      <c r="F17" s="11"/>
      <c r="G17" s="49"/>
      <c r="H17" s="38"/>
    </row>
    <row r="18" spans="1:6" ht="12.75">
      <c r="A18" s="47" t="s">
        <v>106</v>
      </c>
      <c r="B18" s="50" t="s">
        <v>107</v>
      </c>
      <c r="C18" s="51"/>
      <c r="D18" s="11">
        <f>'[1]4-5 кл'!G88</f>
        <v>0</v>
      </c>
      <c r="E18" s="11"/>
      <c r="F18" s="11"/>
    </row>
    <row r="19" spans="1:8" ht="15.75">
      <c r="A19" s="52" t="s">
        <v>108</v>
      </c>
      <c r="B19" s="50" t="s">
        <v>109</v>
      </c>
      <c r="C19" s="51">
        <f>D19-6940</f>
        <v>8949</v>
      </c>
      <c r="D19" s="11">
        <f>'[1]4-5 кл'!G92+'[1]4-5 кл'!G93+'[1]4-5 кл'!G97+'[1]4-5 кл'!G155</f>
        <v>15889</v>
      </c>
      <c r="E19" s="20"/>
      <c r="F19" s="20"/>
      <c r="H19" s="40"/>
    </row>
    <row r="20" spans="1:6" ht="12.75">
      <c r="A20" s="47" t="s">
        <v>110</v>
      </c>
      <c r="B20" s="48">
        <v>2</v>
      </c>
      <c r="C20" s="20"/>
      <c r="D20" s="20"/>
      <c r="E20" s="20"/>
      <c r="F20" s="20"/>
    </row>
    <row r="21" spans="1:6" ht="12.75">
      <c r="A21" s="52" t="s">
        <v>18</v>
      </c>
      <c r="B21" s="48"/>
      <c r="C21" s="11"/>
      <c r="D21" s="11"/>
      <c r="E21" s="11"/>
      <c r="F21" s="11"/>
    </row>
    <row r="22" spans="1:6" ht="12.75">
      <c r="A22" s="47" t="s">
        <v>111</v>
      </c>
      <c r="B22" s="50" t="s">
        <v>112</v>
      </c>
      <c r="C22" s="11"/>
      <c r="D22" s="11"/>
      <c r="E22" s="11"/>
      <c r="F22" s="11"/>
    </row>
    <row r="23" spans="1:6" ht="12.75">
      <c r="A23" s="52" t="s">
        <v>113</v>
      </c>
      <c r="B23" s="50" t="s">
        <v>114</v>
      </c>
      <c r="C23" s="11"/>
      <c r="D23" s="11"/>
      <c r="E23" s="11"/>
      <c r="F23" s="11"/>
    </row>
    <row r="24" spans="1:11" ht="25.5">
      <c r="A24" s="47" t="s">
        <v>115</v>
      </c>
      <c r="B24" s="53">
        <v>3</v>
      </c>
      <c r="C24" s="20">
        <f>C26+C27+C28+C29+C30+C31</f>
        <v>60805</v>
      </c>
      <c r="D24" s="20">
        <f>D26+D27+D28+D29+D30+D31</f>
        <v>195275</v>
      </c>
      <c r="E24" s="20">
        <f>E31</f>
        <v>69821</v>
      </c>
      <c r="F24" s="20">
        <f>F31</f>
        <v>242390</v>
      </c>
      <c r="K24" s="40"/>
    </row>
    <row r="25" spans="1:6" ht="12.75">
      <c r="A25" s="47" t="s">
        <v>71</v>
      </c>
      <c r="B25" s="48"/>
      <c r="C25" s="11"/>
      <c r="D25" s="11"/>
      <c r="E25" s="11"/>
      <c r="F25" s="11"/>
    </row>
    <row r="26" spans="1:6" ht="12.75">
      <c r="A26" s="47" t="s">
        <v>116</v>
      </c>
      <c r="B26" s="50" t="s">
        <v>117</v>
      </c>
      <c r="C26" s="11"/>
      <c r="D26" s="11">
        <f>'[1]4-5 кл'!G112</f>
        <v>0</v>
      </c>
      <c r="E26" s="11"/>
      <c r="F26" s="11"/>
    </row>
    <row r="27" spans="1:6" ht="12.75">
      <c r="A27" s="47" t="s">
        <v>118</v>
      </c>
      <c r="B27" s="50" t="s">
        <v>119</v>
      </c>
      <c r="C27" s="11"/>
      <c r="D27" s="11"/>
      <c r="E27" s="11"/>
      <c r="F27" s="11"/>
    </row>
    <row r="28" spans="1:6" ht="12.75">
      <c r="A28" s="54" t="s">
        <v>120</v>
      </c>
      <c r="B28" s="50" t="s">
        <v>121</v>
      </c>
      <c r="C28" s="11"/>
      <c r="D28" s="11">
        <f>'[1]4-5 кл'!G119</f>
        <v>0</v>
      </c>
      <c r="E28" s="11"/>
      <c r="F28" s="11"/>
    </row>
    <row r="29" spans="1:6" ht="12.75">
      <c r="A29" s="47" t="s">
        <v>122</v>
      </c>
      <c r="B29" s="50" t="s">
        <v>123</v>
      </c>
      <c r="C29" s="11"/>
      <c r="D29" s="11">
        <f>'[1]4-5 кл'!G125</f>
        <v>0</v>
      </c>
      <c r="E29" s="11"/>
      <c r="F29" s="11"/>
    </row>
    <row r="30" spans="1:6" ht="12.75">
      <c r="A30" s="47" t="s">
        <v>124</v>
      </c>
      <c r="B30" s="50" t="s">
        <v>125</v>
      </c>
      <c r="C30" s="11"/>
      <c r="D30" s="11">
        <f>'[1]4-5 кл'!G123</f>
        <v>0</v>
      </c>
      <c r="E30" s="11"/>
      <c r="F30" s="11"/>
    </row>
    <row r="31" spans="1:6" ht="25.5">
      <c r="A31" s="52" t="s">
        <v>126</v>
      </c>
      <c r="B31" s="50" t="s">
        <v>127</v>
      </c>
      <c r="C31" s="20">
        <f>D31-134470</f>
        <v>60805</v>
      </c>
      <c r="D31" s="20">
        <f>'[1]4-5 кл'!G111</f>
        <v>195275</v>
      </c>
      <c r="E31" s="20">
        <v>69821</v>
      </c>
      <c r="F31" s="20">
        <v>242390</v>
      </c>
    </row>
    <row r="32" spans="1:6" ht="12.75">
      <c r="A32" s="47" t="s">
        <v>128</v>
      </c>
      <c r="B32" s="48">
        <v>4</v>
      </c>
      <c r="C32" s="20">
        <f>C34+C35</f>
        <v>-41</v>
      </c>
      <c r="D32" s="20">
        <f>D34+D35</f>
        <v>-151</v>
      </c>
      <c r="E32" s="20">
        <f>E34+E35</f>
        <v>-18</v>
      </c>
      <c r="F32" s="20">
        <f>F34+F35</f>
        <v>-87</v>
      </c>
    </row>
    <row r="33" spans="1:6" ht="12.75">
      <c r="A33" s="52" t="s">
        <v>129</v>
      </c>
      <c r="B33" s="48"/>
      <c r="C33" s="11"/>
      <c r="D33" s="11"/>
      <c r="E33" s="11"/>
      <c r="F33" s="11"/>
    </row>
    <row r="34" spans="1:6" ht="12.75">
      <c r="A34" s="47" t="s">
        <v>130</v>
      </c>
      <c r="B34" s="50" t="s">
        <v>131</v>
      </c>
      <c r="C34" s="11">
        <f>D34+57</f>
        <v>-94</v>
      </c>
      <c r="D34" s="11">
        <f>'[1]4-5 кл'!G100-'[1]4-5 кл'!C82</f>
        <v>-151</v>
      </c>
      <c r="E34" s="11">
        <v>-25</v>
      </c>
      <c r="F34" s="11">
        <v>-87</v>
      </c>
    </row>
    <row r="35" spans="1:6" ht="45" customHeight="1">
      <c r="A35" s="52" t="s">
        <v>132</v>
      </c>
      <c r="B35" s="50" t="s">
        <v>133</v>
      </c>
      <c r="C35" s="11">
        <v>53</v>
      </c>
      <c r="D35" s="11">
        <f>'[1]4-5 кл'!G131-'[1]4-5 кл'!C104</f>
        <v>0</v>
      </c>
      <c r="E35" s="11">
        <v>7</v>
      </c>
      <c r="F35" s="11"/>
    </row>
    <row r="36" spans="1:6" ht="12.75">
      <c r="A36" s="54" t="s">
        <v>134</v>
      </c>
      <c r="B36" s="48">
        <v>5</v>
      </c>
      <c r="C36" s="20">
        <f>D36-37569</f>
        <v>-1763</v>
      </c>
      <c r="D36" s="20">
        <f>('[1]4-5 кл'!G127+'[1]4-5 кл'!G129+'[1]4-5 кл'!G130)-('[1]4-5 кл'!C100+'[1]4-5 кл'!C102+'[1]4-5 кл'!C103)</f>
        <v>35806</v>
      </c>
      <c r="E36" s="20">
        <v>3187</v>
      </c>
      <c r="F36" s="20">
        <v>521</v>
      </c>
    </row>
    <row r="37" spans="1:6" ht="12.75">
      <c r="A37" s="54" t="s">
        <v>135</v>
      </c>
      <c r="B37" s="48">
        <v>6</v>
      </c>
      <c r="C37" s="20"/>
      <c r="D37" s="20"/>
      <c r="E37" s="20"/>
      <c r="F37" s="20"/>
    </row>
    <row r="38" spans="1:6" ht="12.75">
      <c r="A38" s="54" t="s">
        <v>136</v>
      </c>
      <c r="B38" s="48">
        <v>7</v>
      </c>
      <c r="C38" s="20"/>
      <c r="D38" s="20"/>
      <c r="E38" s="20"/>
      <c r="F38" s="20"/>
    </row>
    <row r="39" spans="1:6" ht="12.75">
      <c r="A39" s="54" t="s">
        <v>137</v>
      </c>
      <c r="B39" s="48">
        <v>8</v>
      </c>
      <c r="C39" s="20">
        <f>D39-1446902</f>
        <v>943780</v>
      </c>
      <c r="D39" s="20">
        <f>'[1]4-5 кл'!G141</f>
        <v>2390682</v>
      </c>
      <c r="E39" s="20">
        <v>432422</v>
      </c>
      <c r="F39" s="20">
        <v>794908</v>
      </c>
    </row>
    <row r="40" spans="1:6" ht="12.75">
      <c r="A40" s="47" t="s">
        <v>138</v>
      </c>
      <c r="B40" s="48">
        <v>9</v>
      </c>
      <c r="C40" s="20">
        <f>D40-174014</f>
        <v>75800</v>
      </c>
      <c r="D40" s="20">
        <f>'[1]4-5 кл'!G156+'[1]4-5 кл'!G158+'[1]4-5 кл'!G159</f>
        <v>249814</v>
      </c>
      <c r="E40" s="20">
        <v>86302</v>
      </c>
      <c r="F40" s="20">
        <v>248236</v>
      </c>
    </row>
    <row r="41" spans="1:9" ht="15.75">
      <c r="A41" s="55" t="s">
        <v>139</v>
      </c>
      <c r="B41" s="48">
        <v>10</v>
      </c>
      <c r="C41" s="20">
        <f>C11+C20+C24+C32+C36+C37+C38+C39+C40</f>
        <v>1786061</v>
      </c>
      <c r="D41" s="20">
        <f>D11+D20+D24+D32+D36+D37+D38+D39+D40</f>
        <v>4506564</v>
      </c>
      <c r="E41" s="20">
        <f>E11+E24+E32+E36+E39+E40</f>
        <v>1234182</v>
      </c>
      <c r="F41" s="20">
        <f>F11+F24+F32+F36+F39+F40</f>
        <v>3079425</v>
      </c>
      <c r="I41" s="40"/>
    </row>
    <row r="42" spans="1:6" ht="12.75">
      <c r="A42" s="56"/>
      <c r="B42" s="48"/>
      <c r="C42" s="11"/>
      <c r="D42" s="11"/>
      <c r="E42" s="11"/>
      <c r="F42" s="11"/>
    </row>
    <row r="43" spans="1:11" ht="15.75">
      <c r="A43" s="47" t="s">
        <v>140</v>
      </c>
      <c r="B43" s="48">
        <v>11</v>
      </c>
      <c r="C43" s="20">
        <f>C45+C46+C47+C48+C49+C50</f>
        <v>306128</v>
      </c>
      <c r="D43" s="20">
        <f>D45+D46+D47+D48+D49+D50</f>
        <v>1011376</v>
      </c>
      <c r="E43" s="20">
        <f>E45+E46+E47+E48</f>
        <v>428396</v>
      </c>
      <c r="F43" s="20">
        <f>F45+F46+F47+F48+F49+F50</f>
        <v>1303238</v>
      </c>
      <c r="K43" s="40"/>
    </row>
    <row r="44" spans="1:6" ht="12.75">
      <c r="A44" s="47" t="s">
        <v>71</v>
      </c>
      <c r="B44" s="48"/>
      <c r="C44" s="11"/>
      <c r="D44" s="11"/>
      <c r="E44" s="11"/>
      <c r="F44" s="11"/>
    </row>
    <row r="45" spans="1:6" ht="12.75">
      <c r="A45" s="47" t="s">
        <v>141</v>
      </c>
      <c r="B45" s="50" t="s">
        <v>142</v>
      </c>
      <c r="C45" s="11"/>
      <c r="D45" s="11">
        <f>'[1]4-5 кл'!C54</f>
        <v>0</v>
      </c>
      <c r="E45" s="11"/>
      <c r="F45" s="11"/>
    </row>
    <row r="46" spans="1:6" ht="12.75">
      <c r="A46" s="47" t="s">
        <v>143</v>
      </c>
      <c r="B46" s="50" t="s">
        <v>144</v>
      </c>
      <c r="C46" s="11">
        <f>D46-545570</f>
        <v>228318</v>
      </c>
      <c r="D46" s="11">
        <f>'[1]4-5 кл'!C28</f>
        <v>773888</v>
      </c>
      <c r="E46" s="11">
        <v>296352</v>
      </c>
      <c r="F46" s="11">
        <v>881544</v>
      </c>
    </row>
    <row r="47" spans="1:6" ht="12.75">
      <c r="A47" s="44" t="s">
        <v>145</v>
      </c>
      <c r="B47" s="50" t="s">
        <v>146</v>
      </c>
      <c r="C47" s="11"/>
      <c r="D47" s="11"/>
      <c r="E47" s="11"/>
      <c r="F47" s="11"/>
    </row>
    <row r="48" spans="1:6" ht="12.75">
      <c r="A48" s="47" t="s">
        <v>147</v>
      </c>
      <c r="B48" s="50" t="s">
        <v>148</v>
      </c>
      <c r="C48" s="11">
        <f>D48-159678</f>
        <v>77810</v>
      </c>
      <c r="D48" s="11">
        <f>'[1]4-5 кл'!C57</f>
        <v>237488</v>
      </c>
      <c r="E48" s="11">
        <v>132044</v>
      </c>
      <c r="F48" s="11">
        <v>421694</v>
      </c>
    </row>
    <row r="49" spans="1:6" ht="12.75">
      <c r="A49" s="47" t="s">
        <v>149</v>
      </c>
      <c r="B49" s="50" t="s">
        <v>150</v>
      </c>
      <c r="C49" s="11"/>
      <c r="D49" s="11">
        <f>'[1]4-5 кл'!C56</f>
        <v>0</v>
      </c>
      <c r="E49" s="11"/>
      <c r="F49" s="11"/>
    </row>
    <row r="50" spans="1:8" ht="16.5" customHeight="1">
      <c r="A50" s="14" t="s">
        <v>151</v>
      </c>
      <c r="B50" s="50" t="s">
        <v>152</v>
      </c>
      <c r="C50" s="20"/>
      <c r="D50" s="20"/>
      <c r="E50" s="20"/>
      <c r="F50" s="20"/>
      <c r="H50" s="40"/>
    </row>
    <row r="51" spans="1:6" ht="22.5" customHeight="1">
      <c r="A51" s="44" t="s">
        <v>153</v>
      </c>
      <c r="B51" s="8">
        <v>12</v>
      </c>
      <c r="C51" s="20">
        <f>D51-17162</f>
        <v>6939</v>
      </c>
      <c r="D51" s="20">
        <f>'[1]4-5 кл'!C93</f>
        <v>24101</v>
      </c>
      <c r="E51" s="20">
        <v>10017</v>
      </c>
      <c r="F51" s="20">
        <v>35164</v>
      </c>
    </row>
    <row r="52" spans="1:6" ht="12.75">
      <c r="A52" s="14" t="s">
        <v>18</v>
      </c>
      <c r="B52" s="8"/>
      <c r="C52" s="11"/>
      <c r="D52" s="11"/>
      <c r="E52" s="11"/>
      <c r="F52" s="11"/>
    </row>
    <row r="53" spans="1:6" ht="12.75">
      <c r="A53" s="44" t="s">
        <v>154</v>
      </c>
      <c r="B53" s="50" t="s">
        <v>155</v>
      </c>
      <c r="C53" s="11"/>
      <c r="D53" s="11"/>
      <c r="E53" s="11"/>
      <c r="F53" s="11"/>
    </row>
    <row r="54" spans="1:6" ht="12.75">
      <c r="A54" s="44" t="s">
        <v>156</v>
      </c>
      <c r="B54" s="50" t="s">
        <v>157</v>
      </c>
      <c r="C54" s="11"/>
      <c r="D54" s="11"/>
      <c r="E54" s="11"/>
      <c r="F54" s="11"/>
    </row>
    <row r="55" spans="1:6" ht="25.5">
      <c r="A55" s="44" t="s">
        <v>158</v>
      </c>
      <c r="B55" s="8">
        <v>13</v>
      </c>
      <c r="C55" s="20">
        <f>C57+C58+C59+C60+C61</f>
        <v>0</v>
      </c>
      <c r="D55" s="20">
        <f>D57+D58+D59+D60+D61</f>
        <v>0</v>
      </c>
      <c r="E55" s="20"/>
      <c r="F55" s="20"/>
    </row>
    <row r="56" spans="1:6" ht="12.75">
      <c r="A56" s="14" t="s">
        <v>18</v>
      </c>
      <c r="B56" s="43"/>
      <c r="C56" s="11"/>
      <c r="D56" s="11"/>
      <c r="E56" s="11"/>
      <c r="F56" s="11"/>
    </row>
    <row r="57" spans="1:6" ht="12.75">
      <c r="A57" s="44" t="s">
        <v>159</v>
      </c>
      <c r="B57" s="50" t="s">
        <v>160</v>
      </c>
      <c r="C57" s="11"/>
      <c r="D57" s="11"/>
      <c r="E57" s="11"/>
      <c r="F57" s="11"/>
    </row>
    <row r="58" spans="1:6" ht="12.75">
      <c r="A58" s="44" t="s">
        <v>161</v>
      </c>
      <c r="B58" s="50" t="s">
        <v>162</v>
      </c>
      <c r="C58" s="11"/>
      <c r="D58" s="11"/>
      <c r="E58" s="11"/>
      <c r="F58" s="11"/>
    </row>
    <row r="59" spans="1:6" ht="12.75">
      <c r="A59" s="44" t="s">
        <v>163</v>
      </c>
      <c r="B59" s="50" t="s">
        <v>164</v>
      </c>
      <c r="C59" s="11"/>
      <c r="D59" s="11"/>
      <c r="E59" s="11"/>
      <c r="F59" s="11"/>
    </row>
    <row r="60" spans="1:6" ht="12.75">
      <c r="A60" s="44" t="s">
        <v>165</v>
      </c>
      <c r="B60" s="50" t="s">
        <v>166</v>
      </c>
      <c r="C60" s="11"/>
      <c r="D60" s="11"/>
      <c r="E60" s="11"/>
      <c r="F60" s="11"/>
    </row>
    <row r="61" spans="1:6" ht="12.75">
      <c r="A61" s="44" t="s">
        <v>167</v>
      </c>
      <c r="B61" s="50" t="s">
        <v>168</v>
      </c>
      <c r="C61" s="11"/>
      <c r="D61" s="11"/>
      <c r="E61" s="11"/>
      <c r="F61" s="11"/>
    </row>
    <row r="62" spans="1:6" ht="12.75">
      <c r="A62" s="44" t="s">
        <v>169</v>
      </c>
      <c r="B62" s="8">
        <v>14</v>
      </c>
      <c r="C62" s="20">
        <f>C64+C65+C66+C67</f>
        <v>276619</v>
      </c>
      <c r="D62" s="20">
        <f>D64+D65+D66+D67</f>
        <v>787227</v>
      </c>
      <c r="E62" s="20">
        <f>E64+E65+E66+E67</f>
        <v>254183</v>
      </c>
      <c r="F62" s="20">
        <f>F64+F65+F66+F67</f>
        <v>858391</v>
      </c>
    </row>
    <row r="63" spans="1:6" ht="12.75">
      <c r="A63" s="14" t="s">
        <v>18</v>
      </c>
      <c r="B63" s="8"/>
      <c r="C63" s="11"/>
      <c r="D63" s="11"/>
      <c r="E63" s="11"/>
      <c r="F63" s="11"/>
    </row>
    <row r="64" spans="1:6" ht="12.75">
      <c r="A64" s="44" t="s">
        <v>170</v>
      </c>
      <c r="B64" s="57" t="s">
        <v>171</v>
      </c>
      <c r="C64" s="11">
        <f>D64-360313</f>
        <v>190827</v>
      </c>
      <c r="D64" s="11">
        <f>'[1]4-5 кл'!C110+'[1]4-5 кл'!C128</f>
        <v>551140</v>
      </c>
      <c r="E64" s="11">
        <v>179523</v>
      </c>
      <c r="F64" s="11">
        <v>607736</v>
      </c>
    </row>
    <row r="65" spans="1:6" ht="12.75">
      <c r="A65" s="44" t="s">
        <v>172</v>
      </c>
      <c r="B65" s="57" t="s">
        <v>173</v>
      </c>
      <c r="C65" s="11">
        <f>D65-15012</f>
        <v>6024</v>
      </c>
      <c r="D65" s="11">
        <f>'[1]4-5 кл'!C140</f>
        <v>21036</v>
      </c>
      <c r="E65" s="11">
        <v>12789</v>
      </c>
      <c r="F65" s="11">
        <v>40006</v>
      </c>
    </row>
    <row r="66" spans="1:6" ht="12.75">
      <c r="A66" s="44" t="s">
        <v>174</v>
      </c>
      <c r="B66" s="57" t="s">
        <v>175</v>
      </c>
      <c r="C66" s="11">
        <f>D66-74924</f>
        <v>42732</v>
      </c>
      <c r="D66" s="11">
        <f>'[1]4-5 кл'!C119-'[1]4-5 кл'!C128</f>
        <v>117656</v>
      </c>
      <c r="E66" s="11">
        <v>38602</v>
      </c>
      <c r="F66" s="11">
        <v>123024</v>
      </c>
    </row>
    <row r="67" spans="1:6" ht="25.5">
      <c r="A67" s="14" t="s">
        <v>176</v>
      </c>
      <c r="B67" s="57" t="s">
        <v>177</v>
      </c>
      <c r="C67" s="16">
        <f>D67-60359</f>
        <v>37036</v>
      </c>
      <c r="D67" s="16">
        <f>'[1]4-5 кл'!C132</f>
        <v>97395</v>
      </c>
      <c r="E67" s="11">
        <v>23269</v>
      </c>
      <c r="F67" s="11">
        <v>87625</v>
      </c>
    </row>
    <row r="68" spans="1:6" ht="12.75">
      <c r="A68" s="44" t="s">
        <v>178</v>
      </c>
      <c r="B68" s="8">
        <v>15</v>
      </c>
      <c r="C68" s="20">
        <f>D68-1099316</f>
        <v>718858</v>
      </c>
      <c r="D68" s="20">
        <f>'[1]4-5 кл'!C149</f>
        <v>1818174</v>
      </c>
      <c r="E68" s="11">
        <v>389741</v>
      </c>
      <c r="F68" s="11">
        <v>689019</v>
      </c>
    </row>
    <row r="69" spans="1:6" ht="12.75">
      <c r="A69" s="44" t="s">
        <v>179</v>
      </c>
      <c r="B69" s="8">
        <v>16</v>
      </c>
      <c r="C69" s="20">
        <f>D69-171930</f>
        <v>81581</v>
      </c>
      <c r="D69" s="20">
        <f>'[1]4-5 кл'!C165+'[1]4-5 кл'!C166</f>
        <v>253511</v>
      </c>
      <c r="E69" s="11">
        <v>86830</v>
      </c>
      <c r="F69" s="11">
        <v>296835</v>
      </c>
    </row>
    <row r="70" spans="1:9" ht="18.75" customHeight="1">
      <c r="A70" s="19" t="s">
        <v>180</v>
      </c>
      <c r="B70" s="8">
        <v>17</v>
      </c>
      <c r="C70" s="20">
        <f>C43+C51+C55+C62+C68+C69</f>
        <v>1390125</v>
      </c>
      <c r="D70" s="20">
        <f>D43+D51+D55+D62+D68+D69</f>
        <v>3894389</v>
      </c>
      <c r="E70" s="20">
        <f>E43+E51+E55+E62+E68+E69</f>
        <v>1169167</v>
      </c>
      <c r="F70" s="20">
        <f>F43+F51+F55+F62+F68+F69</f>
        <v>3182647</v>
      </c>
      <c r="I70" s="40"/>
    </row>
    <row r="71" spans="1:7" ht="18.75" customHeight="1">
      <c r="A71" s="19"/>
      <c r="B71" s="8"/>
      <c r="C71" s="20"/>
      <c r="D71" s="20"/>
      <c r="E71" s="20"/>
      <c r="F71" s="20"/>
      <c r="G71" s="39"/>
    </row>
    <row r="72" spans="1:6" ht="25.5">
      <c r="A72" s="14" t="s">
        <v>181</v>
      </c>
      <c r="B72" s="58" t="s">
        <v>182</v>
      </c>
      <c r="C72" s="11">
        <f>C41-C70</f>
        <v>395936</v>
      </c>
      <c r="D72" s="11">
        <f>D41-D70</f>
        <v>612175</v>
      </c>
      <c r="E72" s="11">
        <f>E41-E70</f>
        <v>65015</v>
      </c>
      <c r="F72" s="11">
        <f>F41-F70</f>
        <v>-103222</v>
      </c>
    </row>
    <row r="73" spans="1:7" ht="25.5">
      <c r="A73" s="22" t="s">
        <v>183</v>
      </c>
      <c r="B73" s="58" t="s">
        <v>184</v>
      </c>
      <c r="C73" s="11">
        <f>D73-46776</f>
        <v>206958</v>
      </c>
      <c r="D73" s="11">
        <f>'[1]4-5 кл'!C71-'[1]4-5 кл'!G161-'[1]4-5 кл'!G162-'[1]4-5 кл'!G163-'[1]4-5 кл'!G164-'[1]4-5 кл'!G165-'[1]4-5 кл'!G166-'[1]4-5 кл'!G167-'[1]4-5 кл'!G168-'[1]4-5 кл'!G169-'[1]4-5 кл'!G170</f>
        <v>253734</v>
      </c>
      <c r="E73" s="11">
        <v>-101503</v>
      </c>
      <c r="F73" s="11">
        <v>-775401</v>
      </c>
      <c r="G73" s="31"/>
    </row>
    <row r="74" spans="1:7" ht="12.75">
      <c r="A74" s="14" t="s">
        <v>18</v>
      </c>
      <c r="B74" s="58"/>
      <c r="C74" s="11"/>
      <c r="D74" s="11"/>
      <c r="E74" s="11"/>
      <c r="F74" s="11"/>
      <c r="G74" s="39"/>
    </row>
    <row r="75" spans="1:7" ht="25.5">
      <c r="A75" s="14" t="s">
        <v>185</v>
      </c>
      <c r="B75" s="57" t="s">
        <v>186</v>
      </c>
      <c r="C75" s="11"/>
      <c r="D75" s="11"/>
      <c r="E75" s="11"/>
      <c r="F75" s="11"/>
      <c r="G75" s="39"/>
    </row>
    <row r="76" spans="1:7" ht="18.75" customHeight="1">
      <c r="A76" s="14"/>
      <c r="B76" s="57"/>
      <c r="C76" s="11"/>
      <c r="D76" s="11"/>
      <c r="E76" s="11"/>
      <c r="F76" s="11"/>
      <c r="G76" s="39"/>
    </row>
    <row r="77" spans="1:6" ht="25.5">
      <c r="A77" s="59" t="s">
        <v>187</v>
      </c>
      <c r="B77" s="8">
        <v>20</v>
      </c>
      <c r="C77" s="20">
        <f>C72-C73</f>
        <v>188978</v>
      </c>
      <c r="D77" s="20">
        <f>D72-D73</f>
        <v>358441</v>
      </c>
      <c r="E77" s="20">
        <f>E72-E73</f>
        <v>166518</v>
      </c>
      <c r="F77" s="20">
        <f>F72-F73</f>
        <v>672179</v>
      </c>
    </row>
    <row r="78" spans="1:6" ht="12.75">
      <c r="A78" s="44"/>
      <c r="B78" s="8"/>
      <c r="C78" s="11"/>
      <c r="D78" s="11"/>
      <c r="E78" s="11"/>
      <c r="F78" s="11"/>
    </row>
    <row r="79" spans="1:6" ht="12.75">
      <c r="A79" s="44" t="s">
        <v>188</v>
      </c>
      <c r="B79" s="8">
        <v>21</v>
      </c>
      <c r="C79" s="20">
        <v>83194</v>
      </c>
      <c r="D79" s="20">
        <f>'[1]4-5 кл'!C173</f>
        <v>220511</v>
      </c>
      <c r="E79" s="20">
        <v>37558</v>
      </c>
      <c r="F79" s="20">
        <v>258967</v>
      </c>
    </row>
    <row r="80" spans="1:6" ht="12.75">
      <c r="A80" s="44"/>
      <c r="B80" s="8"/>
      <c r="C80" s="11"/>
      <c r="D80" s="11"/>
      <c r="E80" s="11"/>
      <c r="F80" s="11"/>
    </row>
    <row r="81" spans="1:6" ht="25.5">
      <c r="A81" s="60" t="s">
        <v>189</v>
      </c>
      <c r="B81" s="8">
        <v>22</v>
      </c>
      <c r="C81" s="20">
        <f>C77-C79</f>
        <v>105784</v>
      </c>
      <c r="D81" s="20">
        <f>D77-D79</f>
        <v>137930</v>
      </c>
      <c r="E81" s="20">
        <f>E77-E79</f>
        <v>128960</v>
      </c>
      <c r="F81" s="20">
        <f>F77-F79</f>
        <v>413212</v>
      </c>
    </row>
    <row r="82" spans="1:6" ht="12.75">
      <c r="A82" s="44" t="s">
        <v>190</v>
      </c>
      <c r="B82" s="8">
        <v>23</v>
      </c>
      <c r="C82" s="20"/>
      <c r="D82" s="20"/>
      <c r="E82" s="20"/>
      <c r="F82" s="20"/>
    </row>
    <row r="83" spans="1:6" ht="12.75">
      <c r="A83" s="44"/>
      <c r="B83" s="8"/>
      <c r="C83" s="11"/>
      <c r="D83" s="11"/>
      <c r="E83" s="11"/>
      <c r="F83" s="11"/>
    </row>
    <row r="84" spans="1:6" ht="12.75">
      <c r="A84" s="44" t="s">
        <v>76</v>
      </c>
      <c r="B84" s="8">
        <v>24</v>
      </c>
      <c r="C84" s="20"/>
      <c r="D84" s="20"/>
      <c r="E84" s="20"/>
      <c r="F84" s="20"/>
    </row>
    <row r="85" spans="1:6" ht="12.75">
      <c r="A85" s="44"/>
      <c r="B85" s="8"/>
      <c r="C85" s="11"/>
      <c r="D85" s="11"/>
      <c r="E85" s="11"/>
      <c r="F85" s="11"/>
    </row>
    <row r="86" spans="1:6" ht="12.75">
      <c r="A86" s="60" t="s">
        <v>191</v>
      </c>
      <c r="B86" s="8">
        <v>25</v>
      </c>
      <c r="C86" s="61">
        <f>C81+C82-C84</f>
        <v>105784</v>
      </c>
      <c r="D86" s="61">
        <f>D81+D82-D84</f>
        <v>137930</v>
      </c>
      <c r="E86" s="61">
        <f>E81+E82-E84</f>
        <v>128960</v>
      </c>
      <c r="F86" s="61">
        <f>F81+F82-F84</f>
        <v>413212</v>
      </c>
    </row>
    <row r="87" ht="12.75">
      <c r="D87" s="39"/>
    </row>
    <row r="88" ht="12.75">
      <c r="A88" s="1" t="s">
        <v>192</v>
      </c>
    </row>
    <row r="90" spans="1:4" ht="12.75">
      <c r="A90" s="28" t="s">
        <v>81</v>
      </c>
      <c r="D90" s="1" t="s">
        <v>82</v>
      </c>
    </row>
    <row r="91" ht="12.75">
      <c r="A91" s="28"/>
    </row>
    <row r="92" spans="1:4" ht="12.75">
      <c r="A92" s="29" t="s">
        <v>83</v>
      </c>
      <c r="D92" s="1" t="s">
        <v>82</v>
      </c>
    </row>
    <row r="93" ht="12.75">
      <c r="A93" s="28"/>
    </row>
    <row r="94" spans="1:4" ht="12.75">
      <c r="A94" s="28" t="s">
        <v>84</v>
      </c>
      <c r="D94" s="1" t="s">
        <v>82</v>
      </c>
    </row>
    <row r="95" ht="12.75">
      <c r="A95" s="28"/>
    </row>
    <row r="96" ht="12.75">
      <c r="A96" s="1" t="s">
        <v>193</v>
      </c>
    </row>
    <row r="98" ht="12.75">
      <c r="A98" s="28" t="s">
        <v>86</v>
      </c>
    </row>
    <row r="99" ht="12.75">
      <c r="A99" s="28"/>
    </row>
    <row r="100" ht="12.75">
      <c r="A100" s="28"/>
    </row>
    <row r="101" ht="12.75">
      <c r="A101" s="28"/>
    </row>
  </sheetData>
  <sheetProtection/>
  <mergeCells count="5">
    <mergeCell ref="E1:F1"/>
    <mergeCell ref="A3:F3"/>
    <mergeCell ref="A4:F4"/>
    <mergeCell ref="A5:F5"/>
    <mergeCell ref="A6:F6"/>
  </mergeCells>
  <printOptions/>
  <pageMargins left="1.01" right="0.3" top="0.2755905511811024" bottom="0.31496062992125984" header="0.15748031496062992" footer="0.1574803149606299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90"/>
  <sheetViews>
    <sheetView zoomScalePageLayoutView="0" workbookViewId="0" topLeftCell="A49">
      <selection activeCell="B38" sqref="B38"/>
    </sheetView>
  </sheetViews>
  <sheetFormatPr defaultColWidth="8.8515625" defaultRowHeight="15"/>
  <cols>
    <col min="1" max="1" width="3.00390625" style="62" customWidth="1"/>
    <col min="2" max="2" width="53.28125" style="62" customWidth="1"/>
    <col min="3" max="3" width="10.7109375" style="62" customWidth="1"/>
    <col min="4" max="4" width="16.8515625" style="62" customWidth="1"/>
    <col min="5" max="5" width="19.7109375" style="62" customWidth="1"/>
    <col min="6" max="16384" width="8.8515625" style="62" customWidth="1"/>
  </cols>
  <sheetData>
    <row r="1" ht="11.25">
      <c r="E1" s="63" t="s">
        <v>194</v>
      </c>
    </row>
    <row r="5" spans="2:3" ht="12">
      <c r="B5" s="64" t="s">
        <v>195</v>
      </c>
      <c r="C5" s="64"/>
    </row>
    <row r="6" spans="2:3" ht="12">
      <c r="B6" s="65" t="s">
        <v>196</v>
      </c>
      <c r="C6" s="65"/>
    </row>
    <row r="7" spans="2:3" ht="12">
      <c r="B7" s="65" t="s">
        <v>197</v>
      </c>
      <c r="C7" s="65"/>
    </row>
    <row r="8" ht="11.25">
      <c r="B8" s="62" t="s">
        <v>198</v>
      </c>
    </row>
    <row r="9" spans="2:3" ht="11.25">
      <c r="B9" s="66" t="s">
        <v>199</v>
      </c>
      <c r="C9" s="66"/>
    </row>
    <row r="10" ht="11.25">
      <c r="B10" s="62" t="s">
        <v>200</v>
      </c>
    </row>
    <row r="11" spans="2:5" ht="12">
      <c r="B11" s="67" t="s">
        <v>201</v>
      </c>
      <c r="C11" s="67" t="s">
        <v>6</v>
      </c>
      <c r="D11" s="67" t="s">
        <v>91</v>
      </c>
      <c r="E11" s="68" t="s">
        <v>202</v>
      </c>
    </row>
    <row r="12" spans="2:5" ht="11.25">
      <c r="B12" s="144" t="s">
        <v>203</v>
      </c>
      <c r="C12" s="145"/>
      <c r="D12" s="145"/>
      <c r="E12" s="146"/>
    </row>
    <row r="13" spans="2:5" ht="15" customHeight="1">
      <c r="B13" s="69" t="s">
        <v>204</v>
      </c>
      <c r="C13" s="70" t="s">
        <v>205</v>
      </c>
      <c r="D13" s="71">
        <f>SUM(D15:D20)</f>
        <v>3391479.94233</v>
      </c>
      <c r="E13" s="71">
        <f>SUM(E15:E20)</f>
        <v>3986740.4377900003</v>
      </c>
    </row>
    <row r="14" spans="2:5" ht="15" customHeight="1">
      <c r="B14" s="69" t="s">
        <v>71</v>
      </c>
      <c r="C14" s="70"/>
      <c r="D14" s="72"/>
      <c r="E14" s="73"/>
    </row>
    <row r="15" spans="2:5" ht="12">
      <c r="B15" s="74" t="s">
        <v>206</v>
      </c>
      <c r="C15" s="70" t="s">
        <v>207</v>
      </c>
      <c r="D15" s="75">
        <f>'[2]Лист2'!$D$22</f>
        <v>3389734.19348</v>
      </c>
      <c r="E15" s="75">
        <f>'[2]Лист2'!$E$22</f>
        <v>3983660.2211700003</v>
      </c>
    </row>
    <row r="16" spans="2:5" ht="12">
      <c r="B16" s="76" t="s">
        <v>208</v>
      </c>
      <c r="C16" s="70" t="s">
        <v>209</v>
      </c>
      <c r="D16" s="77"/>
      <c r="E16" s="78"/>
    </row>
    <row r="17" spans="2:5" ht="12">
      <c r="B17" s="76" t="s">
        <v>210</v>
      </c>
      <c r="C17" s="70" t="s">
        <v>211</v>
      </c>
      <c r="D17" s="77"/>
      <c r="E17" s="78"/>
    </row>
    <row r="18" spans="2:5" ht="12">
      <c r="B18" s="76" t="s">
        <v>212</v>
      </c>
      <c r="C18" s="70" t="s">
        <v>213</v>
      </c>
      <c r="D18" s="78"/>
      <c r="E18" s="78"/>
    </row>
    <row r="19" spans="2:5" ht="12">
      <c r="B19" s="76" t="s">
        <v>214</v>
      </c>
      <c r="C19" s="70" t="s">
        <v>215</v>
      </c>
      <c r="D19" s="78"/>
      <c r="E19" s="78"/>
    </row>
    <row r="20" spans="2:5" ht="12">
      <c r="B20" s="76" t="s">
        <v>216</v>
      </c>
      <c r="C20" s="70" t="s">
        <v>217</v>
      </c>
      <c r="D20" s="75">
        <f>'[2]Лист2'!$D$27</f>
        <v>1745.74885</v>
      </c>
      <c r="E20" s="75">
        <f>'[2]Лист2'!$E$27</f>
        <v>3080.21662</v>
      </c>
    </row>
    <row r="21" spans="2:5" ht="17.25" customHeight="1">
      <c r="B21" s="69" t="s">
        <v>218</v>
      </c>
      <c r="C21" s="70" t="s">
        <v>219</v>
      </c>
      <c r="D21" s="79">
        <f>SUM(D23:D29)</f>
        <v>1978698.2648799994</v>
      </c>
      <c r="E21" s="79">
        <f>SUM(E23:E29)</f>
        <v>2232581.755930001</v>
      </c>
    </row>
    <row r="22" spans="2:5" ht="17.25" customHeight="1">
      <c r="B22" s="69" t="s">
        <v>71</v>
      </c>
      <c r="C22" s="70"/>
      <c r="D22" s="72"/>
      <c r="E22" s="73"/>
    </row>
    <row r="23" spans="2:5" ht="12">
      <c r="B23" s="74" t="s">
        <v>220</v>
      </c>
      <c r="C23" s="70" t="s">
        <v>221</v>
      </c>
      <c r="D23" s="75">
        <f>'[2]Лист2'!$D$30</f>
        <v>338748.86494999996</v>
      </c>
      <c r="E23" s="75">
        <f>'[2]Лист2'!$E$30</f>
        <v>411253.1168</v>
      </c>
    </row>
    <row r="24" spans="2:5" ht="12">
      <c r="B24" s="76" t="s">
        <v>222</v>
      </c>
      <c r="C24" s="70" t="s">
        <v>223</v>
      </c>
      <c r="D24" s="77"/>
      <c r="E24" s="78"/>
    </row>
    <row r="25" spans="2:5" ht="12">
      <c r="B25" s="76" t="s">
        <v>224</v>
      </c>
      <c r="C25" s="70" t="s">
        <v>225</v>
      </c>
      <c r="D25" s="75">
        <f>'[2]Лист2'!$D$32</f>
        <v>426381.46261</v>
      </c>
      <c r="E25" s="75">
        <f>'[2]Лист2'!$E$32</f>
        <v>439728.06928</v>
      </c>
    </row>
    <row r="26" spans="2:5" ht="12">
      <c r="B26" s="76" t="s">
        <v>226</v>
      </c>
      <c r="C26" s="70" t="s">
        <v>227</v>
      </c>
      <c r="D26" s="77"/>
      <c r="E26" s="78"/>
    </row>
    <row r="27" spans="2:5" ht="12">
      <c r="B27" s="76" t="s">
        <v>228</v>
      </c>
      <c r="C27" s="70" t="s">
        <v>229</v>
      </c>
      <c r="D27" s="77"/>
      <c r="E27" s="78"/>
    </row>
    <row r="28" spans="2:5" ht="12">
      <c r="B28" s="76" t="s">
        <v>230</v>
      </c>
      <c r="C28" s="70" t="s">
        <v>231</v>
      </c>
      <c r="D28" s="75">
        <f>'[2]Лист2'!$D$35</f>
        <v>674237.1511599999</v>
      </c>
      <c r="E28" s="75">
        <f>'[2]Лист2'!$E$35</f>
        <v>671778.3307700001</v>
      </c>
    </row>
    <row r="29" spans="2:5" ht="12">
      <c r="B29" s="76" t="s">
        <v>232</v>
      </c>
      <c r="C29" s="70" t="s">
        <v>233</v>
      </c>
      <c r="D29" s="75">
        <f>'[2]Лист2'!$D$36</f>
        <v>539330.7861599997</v>
      </c>
      <c r="E29" s="75">
        <f>'[2]Лист2'!$E$36</f>
        <v>709822.2390800007</v>
      </c>
    </row>
    <row r="30" spans="2:5" ht="24" customHeight="1">
      <c r="B30" s="80" t="s">
        <v>234</v>
      </c>
      <c r="C30" s="70" t="s">
        <v>235</v>
      </c>
      <c r="D30" s="71">
        <f>D13-D21</f>
        <v>1412781.6774500005</v>
      </c>
      <c r="E30" s="71">
        <f>E13-E21</f>
        <v>1754158.6818599994</v>
      </c>
    </row>
    <row r="31" ht="12">
      <c r="C31" s="70"/>
    </row>
    <row r="32" spans="2:5" ht="11.25">
      <c r="B32" s="144" t="s">
        <v>236</v>
      </c>
      <c r="C32" s="145"/>
      <c r="D32" s="145"/>
      <c r="E32" s="146"/>
    </row>
    <row r="33" spans="2:5" s="81" customFormat="1" ht="12">
      <c r="B33" s="69" t="s">
        <v>237</v>
      </c>
      <c r="C33" s="70" t="s">
        <v>238</v>
      </c>
      <c r="D33" s="71">
        <f>SUM(D35:D45)</f>
        <v>1823627.3583799999</v>
      </c>
      <c r="E33" s="71">
        <f>SUM(E35:E45)</f>
        <v>794915.33232</v>
      </c>
    </row>
    <row r="34" spans="2:5" ht="12">
      <c r="B34" s="76" t="s">
        <v>71</v>
      </c>
      <c r="C34" s="70"/>
      <c r="D34" s="82"/>
      <c r="E34" s="83"/>
    </row>
    <row r="35" spans="2:5" ht="12">
      <c r="B35" s="76" t="s">
        <v>239</v>
      </c>
      <c r="C35" s="70" t="s">
        <v>240</v>
      </c>
      <c r="D35" s="84">
        <f>'[2]Лист2'!$D$42</f>
        <v>342.16206</v>
      </c>
      <c r="E35" s="84">
        <f>'[2]Лист2'!$E$42</f>
        <v>1463.05208</v>
      </c>
    </row>
    <row r="36" spans="2:5" ht="12">
      <c r="B36" s="76" t="s">
        <v>241</v>
      </c>
      <c r="C36" s="70" t="s">
        <v>242</v>
      </c>
      <c r="D36" s="85"/>
      <c r="E36" s="86"/>
    </row>
    <row r="37" spans="2:5" ht="12">
      <c r="B37" s="76" t="s">
        <v>243</v>
      </c>
      <c r="C37" s="70" t="s">
        <v>244</v>
      </c>
      <c r="D37" s="84">
        <f>'[2]Лист2'!$D$44</f>
        <v>1823285.1963199999</v>
      </c>
      <c r="E37" s="84">
        <f>'[2]Лист2'!$E$44</f>
        <v>793452.28024</v>
      </c>
    </row>
    <row r="38" spans="2:5" ht="24">
      <c r="B38" s="74" t="s">
        <v>245</v>
      </c>
      <c r="C38" s="70" t="s">
        <v>246</v>
      </c>
      <c r="D38" s="85"/>
      <c r="E38" s="86"/>
    </row>
    <row r="39" spans="2:10" ht="12">
      <c r="B39" s="74" t="s">
        <v>247</v>
      </c>
      <c r="C39" s="70" t="s">
        <v>248</v>
      </c>
      <c r="D39" s="85"/>
      <c r="E39" s="86"/>
      <c r="I39" s="87"/>
      <c r="J39" s="87"/>
    </row>
    <row r="40" spans="2:10" ht="12">
      <c r="B40" s="74" t="s">
        <v>249</v>
      </c>
      <c r="C40" s="70" t="s">
        <v>250</v>
      </c>
      <c r="D40" s="85"/>
      <c r="E40" s="86"/>
      <c r="I40" s="88"/>
      <c r="J40" s="87"/>
    </row>
    <row r="41" spans="2:10" ht="12">
      <c r="B41" s="76" t="s">
        <v>251</v>
      </c>
      <c r="C41" s="70" t="s">
        <v>252</v>
      </c>
      <c r="D41" s="84"/>
      <c r="E41" s="84"/>
      <c r="I41" s="89"/>
      <c r="J41" s="87"/>
    </row>
    <row r="42" spans="2:10" ht="12">
      <c r="B42" s="76" t="s">
        <v>253</v>
      </c>
      <c r="C42" s="70" t="s">
        <v>254</v>
      </c>
      <c r="D42" s="84"/>
      <c r="E42" s="84"/>
      <c r="I42" s="89"/>
      <c r="J42" s="87"/>
    </row>
    <row r="43" spans="2:10" ht="12">
      <c r="B43" s="76" t="s">
        <v>255</v>
      </c>
      <c r="C43" s="70" t="s">
        <v>256</v>
      </c>
      <c r="D43" s="86"/>
      <c r="E43" s="86"/>
      <c r="I43" s="88"/>
      <c r="J43" s="87"/>
    </row>
    <row r="44" spans="2:10" ht="12">
      <c r="B44" s="76" t="s">
        <v>214</v>
      </c>
      <c r="C44" s="70" t="s">
        <v>257</v>
      </c>
      <c r="D44" s="84"/>
      <c r="E44" s="84"/>
      <c r="I44" s="87"/>
      <c r="J44" s="87"/>
    </row>
    <row r="45" spans="2:5" ht="12">
      <c r="B45" s="74" t="s">
        <v>216</v>
      </c>
      <c r="C45" s="70" t="s">
        <v>258</v>
      </c>
      <c r="D45" s="86"/>
      <c r="E45" s="90"/>
    </row>
    <row r="46" spans="2:5" s="81" customFormat="1" ht="12">
      <c r="B46" s="69" t="s">
        <v>259</v>
      </c>
      <c r="C46" s="70" t="s">
        <v>260</v>
      </c>
      <c r="D46" s="91">
        <f>SUM(D48:D58)</f>
        <v>1631.282</v>
      </c>
      <c r="E46" s="91">
        <f>SUM(E48:E58)</f>
        <v>7251.3953200000005</v>
      </c>
    </row>
    <row r="47" spans="2:5" ht="12">
      <c r="B47" s="76" t="s">
        <v>71</v>
      </c>
      <c r="C47" s="70"/>
      <c r="D47" s="92"/>
      <c r="E47" s="90"/>
    </row>
    <row r="48" spans="2:5" ht="12">
      <c r="B48" s="76" t="s">
        <v>261</v>
      </c>
      <c r="C48" s="70" t="s">
        <v>262</v>
      </c>
      <c r="D48" s="84">
        <f>'[2]Лист2'!$D$55</f>
        <v>1631.282</v>
      </c>
      <c r="E48" s="84">
        <f>'[2]Лист2'!$E$55</f>
        <v>7176.29711</v>
      </c>
    </row>
    <row r="49" spans="2:5" ht="12">
      <c r="B49" s="76" t="s">
        <v>263</v>
      </c>
      <c r="C49" s="70" t="s">
        <v>264</v>
      </c>
      <c r="D49" s="84"/>
      <c r="E49" s="84">
        <f>'[2]Лист2'!$E$56</f>
        <v>75.09821</v>
      </c>
    </row>
    <row r="50" spans="2:5" ht="12">
      <c r="B50" s="76" t="s">
        <v>265</v>
      </c>
      <c r="C50" s="70" t="s">
        <v>266</v>
      </c>
      <c r="D50" s="85"/>
      <c r="E50" s="86"/>
    </row>
    <row r="51" spans="2:5" ht="24">
      <c r="B51" s="74" t="s">
        <v>267</v>
      </c>
      <c r="C51" s="70" t="s">
        <v>268</v>
      </c>
      <c r="D51" s="85"/>
      <c r="E51" s="86"/>
    </row>
    <row r="52" spans="2:5" ht="12">
      <c r="B52" s="74" t="s">
        <v>269</v>
      </c>
      <c r="C52" s="70" t="s">
        <v>270</v>
      </c>
      <c r="D52" s="85"/>
      <c r="E52" s="86"/>
    </row>
    <row r="53" spans="2:5" ht="12">
      <c r="B53" s="74" t="s">
        <v>271</v>
      </c>
      <c r="C53" s="70" t="s">
        <v>272</v>
      </c>
      <c r="D53" s="85"/>
      <c r="E53" s="86"/>
    </row>
    <row r="54" spans="2:5" ht="12">
      <c r="B54" s="76" t="s">
        <v>273</v>
      </c>
      <c r="C54" s="70" t="s">
        <v>274</v>
      </c>
      <c r="D54" s="86"/>
      <c r="E54" s="86"/>
    </row>
    <row r="55" spans="2:5" ht="12">
      <c r="B55" s="76" t="s">
        <v>275</v>
      </c>
      <c r="C55" s="70" t="s">
        <v>276</v>
      </c>
      <c r="D55" s="86"/>
      <c r="E55" s="86"/>
    </row>
    <row r="56" spans="2:5" ht="12">
      <c r="B56" s="76" t="s">
        <v>253</v>
      </c>
      <c r="C56" s="70" t="s">
        <v>277</v>
      </c>
      <c r="D56" s="86"/>
      <c r="E56" s="86"/>
    </row>
    <row r="57" spans="2:5" ht="12">
      <c r="B57" s="76" t="s">
        <v>278</v>
      </c>
      <c r="C57" s="70" t="s">
        <v>279</v>
      </c>
      <c r="D57" s="78"/>
      <c r="E57" s="78"/>
    </row>
    <row r="58" spans="2:5" ht="12">
      <c r="B58" s="76" t="s">
        <v>232</v>
      </c>
      <c r="C58" s="70" t="s">
        <v>280</v>
      </c>
      <c r="D58" s="77"/>
      <c r="E58" s="78"/>
    </row>
    <row r="59" spans="2:5" ht="24">
      <c r="B59" s="80" t="s">
        <v>281</v>
      </c>
      <c r="C59" s="70" t="s">
        <v>282</v>
      </c>
      <c r="D59" s="79">
        <f>D33-D46</f>
        <v>1821996.07638</v>
      </c>
      <c r="E59" s="79">
        <f>E33-E46</f>
        <v>787663.937</v>
      </c>
    </row>
    <row r="60" ht="12">
      <c r="C60" s="70"/>
    </row>
    <row r="61" spans="2:5" ht="11.25">
      <c r="B61" s="144" t="s">
        <v>283</v>
      </c>
      <c r="C61" s="145"/>
      <c r="D61" s="145"/>
      <c r="E61" s="146"/>
    </row>
    <row r="62" spans="2:5" s="81" customFormat="1" ht="12">
      <c r="B62" s="69" t="s">
        <v>284</v>
      </c>
      <c r="C62" s="70" t="s">
        <v>285</v>
      </c>
      <c r="D62" s="79">
        <f>SUM(D64:D67)</f>
        <v>1613934.1264300002</v>
      </c>
      <c r="E62" s="79">
        <f>SUM(E64:E67)</f>
        <v>1879937.97647</v>
      </c>
    </row>
    <row r="63" spans="2:5" s="81" customFormat="1" ht="12">
      <c r="B63" s="69" t="s">
        <v>71</v>
      </c>
      <c r="C63" s="70"/>
      <c r="D63" s="73"/>
      <c r="E63" s="73"/>
    </row>
    <row r="64" spans="2:5" ht="12">
      <c r="B64" s="76" t="s">
        <v>286</v>
      </c>
      <c r="C64" s="70" t="s">
        <v>287</v>
      </c>
      <c r="D64" s="78" t="s">
        <v>288</v>
      </c>
      <c r="E64" s="78"/>
    </row>
    <row r="65" spans="2:6" ht="12">
      <c r="B65" s="76" t="s">
        <v>289</v>
      </c>
      <c r="C65" s="70" t="s">
        <v>290</v>
      </c>
      <c r="D65" s="85"/>
      <c r="E65" s="86"/>
      <c r="F65" s="93"/>
    </row>
    <row r="66" spans="2:6" ht="12">
      <c r="B66" s="76" t="s">
        <v>214</v>
      </c>
      <c r="C66" s="70" t="s">
        <v>291</v>
      </c>
      <c r="D66" s="84">
        <f>'[2]Лист2'!$D$73</f>
        <v>1575139.27912</v>
      </c>
      <c r="E66" s="84">
        <f>'[2]Лист2'!$E$73</f>
        <v>1879937.97647</v>
      </c>
      <c r="F66" s="93"/>
    </row>
    <row r="67" spans="2:6" ht="12">
      <c r="B67" s="76" t="s">
        <v>292</v>
      </c>
      <c r="C67" s="70" t="s">
        <v>293</v>
      </c>
      <c r="D67" s="84">
        <f>'[2]Лист2'!$D$74</f>
        <v>38794.847310000005</v>
      </c>
      <c r="E67" s="86"/>
      <c r="F67" s="93"/>
    </row>
    <row r="68" spans="2:6" s="81" customFormat="1" ht="12">
      <c r="B68" s="69" t="s">
        <v>294</v>
      </c>
      <c r="C68" s="70" t="s">
        <v>295</v>
      </c>
      <c r="D68" s="94">
        <f>SUM(D70:D74)</f>
        <v>4228676.7911</v>
      </c>
      <c r="E68" s="94">
        <f>SUM(E70:E74)</f>
        <v>4310811.65367</v>
      </c>
      <c r="F68" s="95"/>
    </row>
    <row r="69" spans="2:6" s="81" customFormat="1" ht="12">
      <c r="B69" s="69" t="s">
        <v>71</v>
      </c>
      <c r="C69" s="70"/>
      <c r="D69" s="96"/>
      <c r="E69" s="96"/>
      <c r="F69" s="95"/>
    </row>
    <row r="70" spans="2:6" ht="12">
      <c r="B70" s="76" t="s">
        <v>296</v>
      </c>
      <c r="C70" s="70" t="s">
        <v>297</v>
      </c>
      <c r="D70" s="84">
        <f>'[2]Лист2'!$D$77</f>
        <v>2379925.71364</v>
      </c>
      <c r="E70" s="84">
        <f>'[2]Лист2'!$E$77</f>
        <v>221144.77488</v>
      </c>
      <c r="F70" s="93"/>
    </row>
    <row r="71" spans="2:6" ht="12">
      <c r="B71" s="76" t="s">
        <v>226</v>
      </c>
      <c r="C71" s="70" t="s">
        <v>298</v>
      </c>
      <c r="D71" s="84">
        <f>'[2]Лист2'!$D$78</f>
        <v>786989.31696</v>
      </c>
      <c r="E71" s="84">
        <f>'[2]Лист2'!$E$78</f>
        <v>758473.84879</v>
      </c>
      <c r="F71" s="93"/>
    </row>
    <row r="72" spans="2:6" ht="12">
      <c r="B72" s="76" t="s">
        <v>299</v>
      </c>
      <c r="C72" s="70" t="s">
        <v>300</v>
      </c>
      <c r="D72" s="86"/>
      <c r="E72" s="86"/>
      <c r="F72" s="93"/>
    </row>
    <row r="73" spans="2:6" ht="12">
      <c r="B73" s="76" t="s">
        <v>301</v>
      </c>
      <c r="C73" s="70" t="s">
        <v>302</v>
      </c>
      <c r="D73" s="86"/>
      <c r="E73" s="86"/>
      <c r="F73" s="93"/>
    </row>
    <row r="74" spans="2:6" ht="12">
      <c r="B74" s="76" t="s">
        <v>303</v>
      </c>
      <c r="C74" s="70" t="s">
        <v>304</v>
      </c>
      <c r="D74" s="84">
        <f>'[2]Лист2'!$D$81</f>
        <v>1061761.7605</v>
      </c>
      <c r="E74" s="84">
        <f>'[2]Лист2'!$E$81</f>
        <v>3331193.0300000003</v>
      </c>
      <c r="F74" s="93"/>
    </row>
    <row r="75" spans="2:6" ht="24">
      <c r="B75" s="80" t="s">
        <v>305</v>
      </c>
      <c r="C75" s="70" t="s">
        <v>306</v>
      </c>
      <c r="D75" s="94">
        <f>D62-D68</f>
        <v>-2614742.66467</v>
      </c>
      <c r="E75" s="94">
        <f>E62-E68</f>
        <v>-2430873.6772</v>
      </c>
      <c r="F75" s="93"/>
    </row>
    <row r="76" spans="2:6" ht="12">
      <c r="B76" s="80" t="s">
        <v>307</v>
      </c>
      <c r="C76" s="70"/>
      <c r="D76" s="94">
        <f>'[2]Лист2'!$D$83</f>
        <v>77.56595999999996</v>
      </c>
      <c r="E76" s="94">
        <f>'[2]Лист2'!$E$83</f>
        <v>53.606029999999976</v>
      </c>
      <c r="F76" s="93"/>
    </row>
    <row r="77" spans="2:5" ht="24">
      <c r="B77" s="80" t="s">
        <v>308</v>
      </c>
      <c r="C77" s="70"/>
      <c r="D77" s="79">
        <f>D30+D59+D75</f>
        <v>620035.0891600009</v>
      </c>
      <c r="E77" s="79">
        <f>E30+E59+E75</f>
        <v>110948.94165999955</v>
      </c>
    </row>
    <row r="78" spans="3:4" ht="9.75" customHeight="1">
      <c r="C78" s="97"/>
      <c r="D78" s="98"/>
    </row>
    <row r="79" spans="2:5" ht="12">
      <c r="B79" s="69" t="s">
        <v>309</v>
      </c>
      <c r="C79" s="70"/>
      <c r="D79" s="79">
        <f>'[3]Лист2'!$D$86</f>
        <v>1180858</v>
      </c>
      <c r="E79" s="79">
        <f>'[3]Лист2'!$E$86</f>
        <v>571098</v>
      </c>
    </row>
    <row r="80" spans="2:5" ht="12">
      <c r="B80" s="69" t="s">
        <v>310</v>
      </c>
      <c r="C80" s="70"/>
      <c r="D80" s="79">
        <f>D77+D79</f>
        <v>1800893.089160001</v>
      </c>
      <c r="E80" s="79">
        <f>E77+E79</f>
        <v>682046.9416599995</v>
      </c>
    </row>
    <row r="81" spans="4:5" ht="11.25">
      <c r="D81" s="98"/>
      <c r="E81" s="98"/>
    </row>
    <row r="82" spans="2:5" ht="12.75">
      <c r="B82" s="143" t="s">
        <v>311</v>
      </c>
      <c r="C82" s="143"/>
      <c r="D82" s="143"/>
      <c r="E82" s="143"/>
    </row>
    <row r="83" spans="2:5" ht="12.75">
      <c r="B83" s="143" t="s">
        <v>312</v>
      </c>
      <c r="C83" s="143"/>
      <c r="D83" s="143"/>
      <c r="E83" s="143"/>
    </row>
    <row r="84" spans="2:5" ht="12.75">
      <c r="B84" s="143" t="s">
        <v>313</v>
      </c>
      <c r="C84" s="143"/>
      <c r="D84" s="143"/>
      <c r="E84" s="143"/>
    </row>
    <row r="85" spans="2:5" ht="12.75">
      <c r="B85" s="143" t="s">
        <v>314</v>
      </c>
      <c r="C85" s="143"/>
      <c r="D85" s="143"/>
      <c r="E85" s="143"/>
    </row>
    <row r="86" spans="2:5" ht="12.75">
      <c r="B86" s="143" t="s">
        <v>315</v>
      </c>
      <c r="C86" s="143"/>
      <c r="D86" s="143"/>
      <c r="E86" s="143"/>
    </row>
    <row r="87" spans="2:5" ht="12.75">
      <c r="B87" s="99"/>
      <c r="C87" s="99"/>
      <c r="D87" s="99"/>
      <c r="E87" s="100"/>
    </row>
    <row r="88" spans="4:5" ht="11.25">
      <c r="D88" s="98"/>
      <c r="E88" s="98"/>
    </row>
    <row r="89" spans="4:5" ht="11.25">
      <c r="D89" s="98"/>
      <c r="E89" s="98"/>
    </row>
    <row r="90" spans="4:5" ht="11.25">
      <c r="D90" s="101"/>
      <c r="E90" s="101"/>
    </row>
  </sheetData>
  <sheetProtection/>
  <mergeCells count="8">
    <mergeCell ref="B85:E85"/>
    <mergeCell ref="B86:E86"/>
    <mergeCell ref="B12:E12"/>
    <mergeCell ref="B32:E32"/>
    <mergeCell ref="B61:E61"/>
    <mergeCell ref="B82:E82"/>
    <mergeCell ref="B83:E83"/>
    <mergeCell ref="B84:E84"/>
  </mergeCells>
  <printOptions/>
  <pageMargins left="1.1023622047244095" right="0.7086614173228347" top="0.1968503937007874" bottom="0.1968503937007874" header="0.15748031496062992" footer="0.1574803149606299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4">
      <selection activeCell="I47" sqref="I47"/>
    </sheetView>
  </sheetViews>
  <sheetFormatPr defaultColWidth="9.140625" defaultRowHeight="15"/>
  <cols>
    <col min="1" max="1" width="69.7109375" style="102" customWidth="1"/>
    <col min="2" max="2" width="9.140625" style="102" customWidth="1"/>
    <col min="3" max="3" width="12.140625" style="102" customWidth="1"/>
    <col min="4" max="4" width="16.00390625" style="102" customWidth="1"/>
    <col min="5" max="5" width="15.7109375" style="102" customWidth="1"/>
    <col min="6" max="6" width="13.57421875" style="102" customWidth="1"/>
    <col min="7" max="7" width="16.140625" style="102" customWidth="1"/>
    <col min="8" max="8" width="16.57421875" style="102" customWidth="1"/>
    <col min="9" max="9" width="16.140625" style="102" customWidth="1"/>
    <col min="10" max="31" width="9.140625" style="102" customWidth="1"/>
    <col min="32" max="16384" width="9.140625" style="103" customWidth="1"/>
  </cols>
  <sheetData>
    <row r="1" spans="8:9" ht="12.75">
      <c r="H1" s="153"/>
      <c r="I1" s="154"/>
    </row>
    <row r="3" spans="1:9" ht="12.75">
      <c r="A3" s="153" t="s">
        <v>316</v>
      </c>
      <c r="B3" s="153"/>
      <c r="C3" s="153"/>
      <c r="D3" s="153"/>
      <c r="E3" s="153"/>
      <c r="F3" s="153"/>
      <c r="G3" s="153"/>
      <c r="H3" s="153"/>
      <c r="I3" s="153"/>
    </row>
    <row r="4" spans="1:9" ht="12.75">
      <c r="A4" s="155" t="str">
        <f>'[1]1-3 кл'!A2:G2</f>
        <v>Акционерное общество  "БТА Ипотека"</v>
      </c>
      <c r="B4" s="155"/>
      <c r="C4" s="155"/>
      <c r="D4" s="155"/>
      <c r="E4" s="155"/>
      <c r="F4" s="155"/>
      <c r="G4" s="155"/>
      <c r="H4" s="155"/>
      <c r="I4" s="155"/>
    </row>
    <row r="5" spans="1:9" ht="12.75">
      <c r="A5" s="156" t="s">
        <v>317</v>
      </c>
      <c r="B5" s="156"/>
      <c r="C5" s="156"/>
      <c r="D5" s="156"/>
      <c r="E5" s="156"/>
      <c r="F5" s="156"/>
      <c r="G5" s="156"/>
      <c r="H5" s="156"/>
      <c r="I5" s="156"/>
    </row>
    <row r="6" spans="1:9" ht="12.75">
      <c r="A6" s="155" t="str">
        <f>'[1]1-3 кл'!A5:G5</f>
        <v> по состоянию на 01  октября 2014 года</v>
      </c>
      <c r="B6" s="155"/>
      <c r="C6" s="155"/>
      <c r="D6" s="155"/>
      <c r="E6" s="155"/>
      <c r="F6" s="155"/>
      <c r="G6" s="155"/>
      <c r="H6" s="155"/>
      <c r="I6" s="155"/>
    </row>
    <row r="7" spans="1:31" s="107" customFormat="1" ht="13.5" thickBot="1">
      <c r="A7" s="104"/>
      <c r="B7" s="105"/>
      <c r="C7" s="105"/>
      <c r="D7" s="105"/>
      <c r="E7" s="104"/>
      <c r="F7" s="104"/>
      <c r="G7" s="104"/>
      <c r="H7" s="104"/>
      <c r="I7" s="106" t="s">
        <v>4</v>
      </c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9" ht="12.75">
      <c r="A8" s="157" t="s">
        <v>5</v>
      </c>
      <c r="B8" s="159" t="s">
        <v>318</v>
      </c>
      <c r="C8" s="147" t="s">
        <v>319</v>
      </c>
      <c r="D8" s="147"/>
      <c r="E8" s="147"/>
      <c r="F8" s="147"/>
      <c r="G8" s="147"/>
      <c r="H8" s="148" t="s">
        <v>76</v>
      </c>
      <c r="I8" s="150" t="s">
        <v>320</v>
      </c>
    </row>
    <row r="9" spans="1:9" ht="39" thickBot="1">
      <c r="A9" s="158"/>
      <c r="B9" s="160"/>
      <c r="C9" s="108" t="s">
        <v>59</v>
      </c>
      <c r="D9" s="108" t="s">
        <v>66</v>
      </c>
      <c r="E9" s="108" t="s">
        <v>69</v>
      </c>
      <c r="F9" s="109" t="s">
        <v>321</v>
      </c>
      <c r="G9" s="110" t="s">
        <v>322</v>
      </c>
      <c r="H9" s="149"/>
      <c r="I9" s="151"/>
    </row>
    <row r="10" spans="1:9" ht="12.75">
      <c r="A10" s="111">
        <v>1</v>
      </c>
      <c r="B10" s="112"/>
      <c r="C10" s="113">
        <v>2</v>
      </c>
      <c r="D10" s="113">
        <v>3</v>
      </c>
      <c r="E10" s="113">
        <v>4</v>
      </c>
      <c r="F10" s="113">
        <v>5</v>
      </c>
      <c r="G10" s="113">
        <v>6</v>
      </c>
      <c r="H10" s="113">
        <v>7</v>
      </c>
      <c r="I10" s="114">
        <v>8</v>
      </c>
    </row>
    <row r="11" spans="1:9" ht="12.75">
      <c r="A11" s="115" t="s">
        <v>323</v>
      </c>
      <c r="B11" s="116">
        <v>1</v>
      </c>
      <c r="C11" s="117">
        <v>5615004</v>
      </c>
      <c r="D11" s="117">
        <v>5134250</v>
      </c>
      <c r="E11" s="117"/>
      <c r="F11" s="117">
        <v>-3899709</v>
      </c>
      <c r="G11" s="118">
        <f>SUM(C11+D11+E11+F11)</f>
        <v>6849545</v>
      </c>
      <c r="H11" s="117"/>
      <c r="I11" s="119">
        <f>G11+H11</f>
        <v>6849545</v>
      </c>
    </row>
    <row r="12" spans="1:9" ht="12.75">
      <c r="A12" s="120" t="s">
        <v>324</v>
      </c>
      <c r="B12" s="116">
        <v>2</v>
      </c>
      <c r="C12" s="121"/>
      <c r="D12" s="121"/>
      <c r="E12" s="121"/>
      <c r="F12" s="121"/>
      <c r="G12" s="118">
        <f>SUM(C12+D12+E12+F12)</f>
        <v>0</v>
      </c>
      <c r="H12" s="121"/>
      <c r="I12" s="122"/>
    </row>
    <row r="13" spans="1:9" ht="12.75">
      <c r="A13" s="115" t="s">
        <v>325</v>
      </c>
      <c r="B13" s="116">
        <v>3</v>
      </c>
      <c r="C13" s="123">
        <f>C11+C12</f>
        <v>5615004</v>
      </c>
      <c r="D13" s="123">
        <f>D11+D12</f>
        <v>5134250</v>
      </c>
      <c r="E13" s="123">
        <f>E11+E12</f>
        <v>0</v>
      </c>
      <c r="F13" s="123">
        <f>F11+F12</f>
        <v>-3899709</v>
      </c>
      <c r="G13" s="123">
        <f>G11+G12</f>
        <v>6849545</v>
      </c>
      <c r="H13" s="124"/>
      <c r="I13" s="119">
        <f>G13+H13</f>
        <v>6849545</v>
      </c>
    </row>
    <row r="14" spans="1:9" ht="18" customHeight="1">
      <c r="A14" s="125" t="s">
        <v>326</v>
      </c>
      <c r="B14" s="126">
        <v>4</v>
      </c>
      <c r="C14" s="124"/>
      <c r="D14" s="124"/>
      <c r="E14" s="124"/>
      <c r="F14" s="124"/>
      <c r="G14" s="124"/>
      <c r="H14" s="124"/>
      <c r="I14" s="122"/>
    </row>
    <row r="15" spans="1:9" ht="12.75">
      <c r="A15" s="127" t="s">
        <v>327</v>
      </c>
      <c r="B15" s="126">
        <v>5</v>
      </c>
      <c r="C15" s="124"/>
      <c r="D15" s="124"/>
      <c r="E15" s="124"/>
      <c r="F15" s="124"/>
      <c r="G15" s="124"/>
      <c r="H15" s="124"/>
      <c r="I15" s="122"/>
    </row>
    <row r="16" spans="1:9" ht="12.75">
      <c r="A16" s="127" t="s">
        <v>328</v>
      </c>
      <c r="B16" s="126">
        <v>6</v>
      </c>
      <c r="C16" s="124"/>
      <c r="D16" s="124"/>
      <c r="E16" s="124"/>
      <c r="F16" s="124"/>
      <c r="G16" s="124"/>
      <c r="H16" s="124"/>
      <c r="I16" s="122"/>
    </row>
    <row r="17" spans="1:9" ht="12.75">
      <c r="A17" s="115" t="s">
        <v>329</v>
      </c>
      <c r="B17" s="126">
        <v>7</v>
      </c>
      <c r="C17" s="124"/>
      <c r="D17" s="124"/>
      <c r="E17" s="124"/>
      <c r="F17" s="124"/>
      <c r="G17" s="124"/>
      <c r="H17" s="124"/>
      <c r="I17" s="122"/>
    </row>
    <row r="18" spans="1:9" ht="12.75">
      <c r="A18" s="115" t="s">
        <v>330</v>
      </c>
      <c r="B18" s="126">
        <v>8</v>
      </c>
      <c r="C18" s="123">
        <f>C14+C15+C16+C17</f>
        <v>0</v>
      </c>
      <c r="D18" s="123">
        <f>D14+D15+D16+D17</f>
        <v>0</v>
      </c>
      <c r="E18" s="123">
        <f>E14+E15+E16+E17</f>
        <v>0</v>
      </c>
      <c r="F18" s="123">
        <f>F14+F15+F16+F17</f>
        <v>0</v>
      </c>
      <c r="G18" s="123">
        <f>G16+G17</f>
        <v>0</v>
      </c>
      <c r="H18" s="124"/>
      <c r="I18" s="119">
        <f>G18+H18</f>
        <v>0</v>
      </c>
    </row>
    <row r="19" spans="1:9" ht="12.75">
      <c r="A19" s="115" t="s">
        <v>331</v>
      </c>
      <c r="B19" s="126">
        <v>9</v>
      </c>
      <c r="C19" s="124"/>
      <c r="D19" s="124"/>
      <c r="E19" s="124"/>
      <c r="F19" s="124">
        <f>'[1]ф1кварт'!D71</f>
        <v>545090</v>
      </c>
      <c r="G19" s="124">
        <f>SUM(C19:F19)</f>
        <v>545090</v>
      </c>
      <c r="H19" s="124"/>
      <c r="I19" s="122">
        <f>SUM(G19:H19)</f>
        <v>545090</v>
      </c>
    </row>
    <row r="20" spans="1:9" ht="12.75">
      <c r="A20" s="115" t="s">
        <v>332</v>
      </c>
      <c r="B20" s="126">
        <v>10</v>
      </c>
      <c r="C20" s="123">
        <f>C18+C19</f>
        <v>0</v>
      </c>
      <c r="D20" s="123">
        <f>D18+D19</f>
        <v>0</v>
      </c>
      <c r="E20" s="123">
        <f>E18+E19</f>
        <v>0</v>
      </c>
      <c r="F20" s="123">
        <f>F18+F19</f>
        <v>545090</v>
      </c>
      <c r="G20" s="123">
        <f>G18+G19</f>
        <v>545090</v>
      </c>
      <c r="H20" s="124"/>
      <c r="I20" s="119">
        <f>G20+H20</f>
        <v>545090</v>
      </c>
    </row>
    <row r="21" spans="1:9" ht="12.75">
      <c r="A21" s="125" t="s">
        <v>333</v>
      </c>
      <c r="B21" s="126">
        <v>11</v>
      </c>
      <c r="C21" s="124"/>
      <c r="D21" s="124"/>
      <c r="E21" s="124"/>
      <c r="F21" s="124"/>
      <c r="G21" s="124"/>
      <c r="H21" s="124"/>
      <c r="I21" s="122"/>
    </row>
    <row r="22" spans="1:9" ht="12.75">
      <c r="A22" s="125" t="s">
        <v>334</v>
      </c>
      <c r="B22" s="126">
        <v>12</v>
      </c>
      <c r="C22" s="124"/>
      <c r="D22" s="124"/>
      <c r="E22" s="124"/>
      <c r="F22" s="124"/>
      <c r="G22" s="124"/>
      <c r="H22" s="124"/>
      <c r="I22" s="122"/>
    </row>
    <row r="23" spans="1:9" ht="12.75">
      <c r="A23" s="127" t="s">
        <v>335</v>
      </c>
      <c r="B23" s="116">
        <v>12</v>
      </c>
      <c r="C23" s="124"/>
      <c r="D23" s="124"/>
      <c r="E23" s="124"/>
      <c r="F23" s="124"/>
      <c r="G23" s="124"/>
      <c r="H23" s="124"/>
      <c r="I23" s="122"/>
    </row>
    <row r="24" spans="1:9" ht="12.75">
      <c r="A24" s="127" t="s">
        <v>336</v>
      </c>
      <c r="B24" s="116">
        <v>14</v>
      </c>
      <c r="C24" s="123">
        <f>C25+C26</f>
        <v>0</v>
      </c>
      <c r="D24" s="123">
        <f>D25+D26</f>
        <v>0</v>
      </c>
      <c r="E24" s="123">
        <f>E25+E26</f>
        <v>0</v>
      </c>
      <c r="F24" s="123">
        <f>F25+F26</f>
        <v>0</v>
      </c>
      <c r="G24" s="123">
        <f>G22+G23</f>
        <v>0</v>
      </c>
      <c r="H24" s="124"/>
      <c r="I24" s="119">
        <f>G24+H24</f>
        <v>0</v>
      </c>
    </row>
    <row r="25" spans="1:9" ht="12.75">
      <c r="A25" s="127" t="s">
        <v>337</v>
      </c>
      <c r="B25" s="116">
        <v>15</v>
      </c>
      <c r="C25" s="124"/>
      <c r="D25" s="124"/>
      <c r="E25" s="124"/>
      <c r="F25" s="124"/>
      <c r="G25" s="124"/>
      <c r="H25" s="124"/>
      <c r="I25" s="122"/>
    </row>
    <row r="26" spans="1:9" ht="12.75">
      <c r="A26" s="127" t="s">
        <v>338</v>
      </c>
      <c r="B26" s="116">
        <v>16</v>
      </c>
      <c r="C26" s="124"/>
      <c r="D26" s="124"/>
      <c r="E26" s="124"/>
      <c r="F26" s="124"/>
      <c r="G26" s="124"/>
      <c r="H26" s="124"/>
      <c r="I26" s="122"/>
    </row>
    <row r="27" spans="1:9" ht="12.75">
      <c r="A27" s="127" t="s">
        <v>339</v>
      </c>
      <c r="B27" s="116">
        <v>17</v>
      </c>
      <c r="C27" s="124"/>
      <c r="D27" s="124"/>
      <c r="E27" s="124"/>
      <c r="F27" s="124"/>
      <c r="G27" s="124"/>
      <c r="H27" s="124"/>
      <c r="I27" s="122"/>
    </row>
    <row r="28" spans="1:9" ht="12.75">
      <c r="A28" s="128" t="s">
        <v>340</v>
      </c>
      <c r="B28" s="116">
        <v>18</v>
      </c>
      <c r="C28" s="124">
        <f>C11</f>
        <v>5615004</v>
      </c>
      <c r="D28" s="124">
        <f>D11</f>
        <v>5134250</v>
      </c>
      <c r="E28" s="124"/>
      <c r="F28" s="124">
        <f>F11+F19</f>
        <v>-3354619</v>
      </c>
      <c r="G28" s="124">
        <f>G11+G20</f>
        <v>7394635</v>
      </c>
      <c r="H28" s="124"/>
      <c r="I28" s="122">
        <f>SUM(G28:H28)</f>
        <v>7394635</v>
      </c>
    </row>
    <row r="29" spans="1:9" ht="12.75">
      <c r="A29" s="120" t="s">
        <v>324</v>
      </c>
      <c r="B29" s="116">
        <v>19</v>
      </c>
      <c r="C29" s="124"/>
      <c r="D29" s="124"/>
      <c r="E29" s="124"/>
      <c r="F29" s="124"/>
      <c r="G29" s="124"/>
      <c r="H29" s="124"/>
      <c r="I29" s="122"/>
    </row>
    <row r="30" spans="1:9" ht="12.75">
      <c r="A30" s="115" t="s">
        <v>341</v>
      </c>
      <c r="B30" s="116">
        <v>20</v>
      </c>
      <c r="C30" s="123">
        <f>C28+C29</f>
        <v>5615004</v>
      </c>
      <c r="D30" s="123">
        <f>D28+D29</f>
        <v>5134250</v>
      </c>
      <c r="E30" s="123">
        <f>E28+E29</f>
        <v>0</v>
      </c>
      <c r="F30" s="123">
        <f>F28+F29</f>
        <v>-3354619</v>
      </c>
      <c r="G30" s="123">
        <f>G28+G29</f>
        <v>7394635</v>
      </c>
      <c r="H30" s="124"/>
      <c r="I30" s="119">
        <f>G30+H30</f>
        <v>7394635</v>
      </c>
    </row>
    <row r="31" spans="1:9" ht="25.5">
      <c r="A31" s="125" t="s">
        <v>326</v>
      </c>
      <c r="B31" s="116">
        <v>21</v>
      </c>
      <c r="C31" s="124"/>
      <c r="D31" s="124"/>
      <c r="E31" s="124"/>
      <c r="F31" s="124"/>
      <c r="G31" s="124"/>
      <c r="H31" s="124"/>
      <c r="I31" s="122"/>
    </row>
    <row r="32" spans="1:9" ht="12.75">
      <c r="A32" s="127" t="s">
        <v>327</v>
      </c>
      <c r="B32" s="116">
        <v>22</v>
      </c>
      <c r="C32" s="124"/>
      <c r="D32" s="124"/>
      <c r="E32" s="124"/>
      <c r="F32" s="124"/>
      <c r="G32" s="124"/>
      <c r="H32" s="124"/>
      <c r="I32" s="122"/>
    </row>
    <row r="33" spans="1:9" ht="12.75">
      <c r="A33" s="127" t="s">
        <v>328</v>
      </c>
      <c r="B33" s="116">
        <v>23</v>
      </c>
      <c r="C33" s="124"/>
      <c r="D33" s="124"/>
      <c r="E33" s="124"/>
      <c r="F33" s="124"/>
      <c r="G33" s="124"/>
      <c r="H33" s="124"/>
      <c r="I33" s="122"/>
    </row>
    <row r="34" spans="1:9" ht="12.75">
      <c r="A34" s="115" t="s">
        <v>329</v>
      </c>
      <c r="B34" s="116">
        <v>24</v>
      </c>
      <c r="C34" s="124"/>
      <c r="D34" s="124"/>
      <c r="E34" s="124"/>
      <c r="F34" s="124"/>
      <c r="G34" s="124"/>
      <c r="H34" s="124"/>
      <c r="I34" s="122"/>
    </row>
    <row r="35" spans="1:9" ht="12.75">
      <c r="A35" s="115" t="s">
        <v>330</v>
      </c>
      <c r="B35" s="116">
        <v>25</v>
      </c>
      <c r="C35" s="123">
        <f>C31+C32+C33+C34</f>
        <v>0</v>
      </c>
      <c r="D35" s="123">
        <f>D31+D32+D33+D34</f>
        <v>0</v>
      </c>
      <c r="E35" s="123">
        <f>E31+E32+E33+E34</f>
        <v>0</v>
      </c>
      <c r="F35" s="123">
        <f>F31+F32+F33+F34</f>
        <v>0</v>
      </c>
      <c r="G35" s="123">
        <f>G33+G34</f>
        <v>0</v>
      </c>
      <c r="H35" s="124"/>
      <c r="I35" s="119">
        <f>G35+H35</f>
        <v>0</v>
      </c>
    </row>
    <row r="36" spans="1:9" ht="12.75">
      <c r="A36" s="115" t="s">
        <v>331</v>
      </c>
      <c r="B36" s="116">
        <v>26</v>
      </c>
      <c r="C36" s="124"/>
      <c r="D36" s="124"/>
      <c r="E36" s="124"/>
      <c r="F36" s="124">
        <f>'[1]ф1кварт'!C71</f>
        <v>137930</v>
      </c>
      <c r="G36" s="124">
        <f>SUM(C36:F36)</f>
        <v>137930</v>
      </c>
      <c r="H36" s="124"/>
      <c r="I36" s="122">
        <f>SUM(G36:H36)</f>
        <v>137930</v>
      </c>
    </row>
    <row r="37" spans="1:9" ht="12.75">
      <c r="A37" s="115" t="s">
        <v>332</v>
      </c>
      <c r="B37" s="116">
        <v>27</v>
      </c>
      <c r="C37" s="123">
        <f>C35+C36</f>
        <v>0</v>
      </c>
      <c r="D37" s="123">
        <f>D35+D36</f>
        <v>0</v>
      </c>
      <c r="E37" s="123">
        <f>E35+E36</f>
        <v>0</v>
      </c>
      <c r="F37" s="123">
        <f>F35+F36</f>
        <v>137930</v>
      </c>
      <c r="G37" s="123">
        <f>G35+G36</f>
        <v>137930</v>
      </c>
      <c r="H37" s="124"/>
      <c r="I37" s="119">
        <f>G37+H37</f>
        <v>137930</v>
      </c>
    </row>
    <row r="38" spans="1:9" ht="12.75">
      <c r="A38" s="125" t="s">
        <v>333</v>
      </c>
      <c r="B38" s="116">
        <v>28</v>
      </c>
      <c r="C38" s="124"/>
      <c r="D38" s="124"/>
      <c r="E38" s="124"/>
      <c r="F38" s="124"/>
      <c r="G38" s="124"/>
      <c r="H38" s="124"/>
      <c r="I38" s="122"/>
    </row>
    <row r="39" spans="1:9" ht="12.75">
      <c r="A39" s="125" t="s">
        <v>334</v>
      </c>
      <c r="B39" s="116">
        <v>29</v>
      </c>
      <c r="C39" s="124"/>
      <c r="D39" s="124"/>
      <c r="E39" s="124"/>
      <c r="F39" s="124"/>
      <c r="G39" s="124"/>
      <c r="H39" s="124"/>
      <c r="I39" s="122"/>
    </row>
    <row r="40" spans="1:9" ht="12.75">
      <c r="A40" s="127" t="s">
        <v>335</v>
      </c>
      <c r="B40" s="116">
        <v>30</v>
      </c>
      <c r="C40" s="124"/>
      <c r="D40" s="124"/>
      <c r="E40" s="124"/>
      <c r="F40" s="124"/>
      <c r="G40" s="124"/>
      <c r="H40" s="124"/>
      <c r="I40" s="122"/>
    </row>
    <row r="41" spans="1:9" ht="12.75">
      <c r="A41" s="127" t="s">
        <v>336</v>
      </c>
      <c r="B41" s="116">
        <v>31</v>
      </c>
      <c r="C41" s="123">
        <f>C42+C43</f>
        <v>0</v>
      </c>
      <c r="D41" s="123">
        <f>D42+D43</f>
        <v>0</v>
      </c>
      <c r="E41" s="123">
        <f>E42+E43</f>
        <v>0</v>
      </c>
      <c r="F41" s="123">
        <f>F42+F43</f>
        <v>0</v>
      </c>
      <c r="G41" s="123">
        <f>G39+G40</f>
        <v>0</v>
      </c>
      <c r="H41" s="124"/>
      <c r="I41" s="119">
        <f>G41+H41</f>
        <v>0</v>
      </c>
    </row>
    <row r="42" spans="1:9" ht="12.75">
      <c r="A42" s="127" t="s">
        <v>337</v>
      </c>
      <c r="B42" s="116">
        <v>32</v>
      </c>
      <c r="C42" s="124"/>
      <c r="D42" s="124"/>
      <c r="E42" s="124"/>
      <c r="F42" s="124"/>
      <c r="G42" s="124"/>
      <c r="H42" s="124"/>
      <c r="I42" s="122"/>
    </row>
    <row r="43" spans="1:9" ht="12.75">
      <c r="A43" s="127" t="s">
        <v>338</v>
      </c>
      <c r="B43" s="116">
        <v>33</v>
      </c>
      <c r="C43" s="124"/>
      <c r="D43" s="124"/>
      <c r="E43" s="124"/>
      <c r="F43" s="124"/>
      <c r="G43" s="124"/>
      <c r="H43" s="124"/>
      <c r="I43" s="122"/>
    </row>
    <row r="44" spans="1:9" ht="12.75">
      <c r="A44" s="127" t="s">
        <v>339</v>
      </c>
      <c r="B44" s="116">
        <v>34</v>
      </c>
      <c r="C44" s="124"/>
      <c r="D44" s="124"/>
      <c r="E44" s="124"/>
      <c r="F44" s="124"/>
      <c r="G44" s="124"/>
      <c r="H44" s="124"/>
      <c r="I44" s="122"/>
    </row>
    <row r="45" spans="1:9" ht="12.75">
      <c r="A45" s="128" t="s">
        <v>342</v>
      </c>
      <c r="B45" s="116">
        <v>35</v>
      </c>
      <c r="C45" s="123">
        <f>C30+C37</f>
        <v>5615004</v>
      </c>
      <c r="D45" s="123">
        <f>D30+D37</f>
        <v>5134250</v>
      </c>
      <c r="E45" s="123">
        <f>E30+E37</f>
        <v>0</v>
      </c>
      <c r="F45" s="123">
        <f>F30+F37</f>
        <v>-3216689</v>
      </c>
      <c r="G45" s="123">
        <f>G30+G37</f>
        <v>7532565</v>
      </c>
      <c r="H45" s="124"/>
      <c r="I45" s="119">
        <f>G45+H45</f>
        <v>7532565</v>
      </c>
    </row>
    <row r="46" spans="1:9" ht="13.5" thickBot="1">
      <c r="A46" s="129"/>
      <c r="B46" s="130"/>
      <c r="C46" s="130"/>
      <c r="D46" s="130"/>
      <c r="E46" s="130"/>
      <c r="F46" s="130"/>
      <c r="G46" s="130"/>
      <c r="H46" s="130"/>
      <c r="I46" s="131"/>
    </row>
    <row r="47" ht="12.75">
      <c r="I47" s="132"/>
    </row>
    <row r="48" spans="1:9" ht="37.5" customHeight="1">
      <c r="A48" s="152" t="s">
        <v>343</v>
      </c>
      <c r="B48" s="152"/>
      <c r="C48" s="152"/>
      <c r="D48" s="152"/>
      <c r="E48" s="152"/>
      <c r="F48" s="152"/>
      <c r="G48" s="152"/>
      <c r="H48" s="152"/>
      <c r="I48" s="152"/>
    </row>
    <row r="50" ht="12.75">
      <c r="A50" s="133" t="s">
        <v>344</v>
      </c>
    </row>
    <row r="51" ht="12.75">
      <c r="A51" s="134"/>
    </row>
    <row r="52" ht="12.75">
      <c r="A52" s="134"/>
    </row>
    <row r="53" ht="12.75">
      <c r="A53" s="133" t="s">
        <v>345</v>
      </c>
    </row>
    <row r="54" ht="12.75">
      <c r="A54" s="134"/>
    </row>
    <row r="55" ht="12.75">
      <c r="A55" s="134"/>
    </row>
    <row r="56" ht="12.75">
      <c r="A56" s="134" t="s">
        <v>346</v>
      </c>
    </row>
    <row r="57" ht="12.75">
      <c r="A57" s="134"/>
    </row>
    <row r="58" ht="12.75">
      <c r="A58" s="134" t="s">
        <v>347</v>
      </c>
    </row>
    <row r="59" ht="12.75">
      <c r="A59" s="134"/>
    </row>
    <row r="60" ht="12.75">
      <c r="A60" s="134" t="s">
        <v>315</v>
      </c>
    </row>
  </sheetData>
  <sheetProtection/>
  <mergeCells count="11">
    <mergeCell ref="B8:B9"/>
    <mergeCell ref="C8:G8"/>
    <mergeCell ref="H8:H9"/>
    <mergeCell ref="I8:I9"/>
    <mergeCell ref="A48:I48"/>
    <mergeCell ref="H1:I1"/>
    <mergeCell ref="A3:I3"/>
    <mergeCell ref="A4:I4"/>
    <mergeCell ref="A5:I5"/>
    <mergeCell ref="A6:I6"/>
    <mergeCell ref="A8:A9"/>
  </mergeCells>
  <printOptions/>
  <pageMargins left="0.15748031496062992" right="0.15748031496062992" top="0.44" bottom="0.18" header="0.15748031496062992" footer="0.17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kopezhanova</dc:creator>
  <cp:keywords/>
  <dc:description/>
  <cp:lastModifiedBy>kopezhanova</cp:lastModifiedBy>
  <cp:lastPrinted>2014-10-23T02:49:47Z</cp:lastPrinted>
  <dcterms:created xsi:type="dcterms:W3CDTF">2014-10-10T03:09:24Z</dcterms:created>
  <dcterms:modified xsi:type="dcterms:W3CDTF">2014-10-23T02:52:03Z</dcterms:modified>
  <cp:category/>
  <cp:version/>
  <cp:contentType/>
  <cp:contentStatus/>
</cp:coreProperties>
</file>