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20" windowWidth="15135" windowHeight="4605" activeTab="3"/>
  </bookViews>
  <sheets>
    <sheet name="ОПУ" sheetId="1" r:id="rId1"/>
    <sheet name="Баланс" sheetId="2" r:id="rId2"/>
    <sheet name="ДДС" sheetId="3" r:id="rId3"/>
    <sheet name="Капитал" sheetId="4" r:id="rId4"/>
  </sheets>
  <externalReferences>
    <externalReference r:id="rId7"/>
  </externalReferences>
  <definedNames>
    <definedName name="_Hlk222634923" localSheetId="1">'Баланс'!$A$40</definedName>
    <definedName name="_Hlk239143240" localSheetId="1">'Баланс'!$A$4</definedName>
    <definedName name="_xlnm.Print_Area" localSheetId="1">'Баланс'!$A$1:$F$48</definedName>
    <definedName name="_xlnm.Print_Area" localSheetId="0">'ОПУ'!$A$1:$E$29</definedName>
  </definedNames>
  <calcPr fullCalcOnLoad="1"/>
</workbook>
</file>

<file path=xl/sharedStrings.xml><?xml version="1.0" encoding="utf-8"?>
<sst xmlns="http://schemas.openxmlformats.org/spreadsheetml/2006/main" count="128" uniqueCount="109">
  <si>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</si>
  <si>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</si>
  <si>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</si>
  <si>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</si>
  <si>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</si>
  <si>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</si>
  <si>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</si>
  <si>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</si>
  <si>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</si>
  <si>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</si>
  <si>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</si>
  <si>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</si>
  <si>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</si>
  <si>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</si>
  <si>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</si>
  <si>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</si>
  <si>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</si>
  <si>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</si>
  <si>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</si>
  <si>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</si>
  <si>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</si>
  <si>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</si>
  <si>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</si>
  <si>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</si>
  <si>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</si>
  <si>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</si>
  <si>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</si>
  <si>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</si>
  <si>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</si>
  <si>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</si>
  <si>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</si>
  <si>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</si>
  <si>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</si>
  <si>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</si>
  <si>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</si>
  <si>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</si>
  <si>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</si>
  <si>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</si>
  <si>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</si>
  <si>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</si>
  <si>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</si>
  <si>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</si>
  <si>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</si>
  <si>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</si>
  <si>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</si>
  <si>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</si>
  <si>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</si>
  <si>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</si>
  <si>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</si>
  <si>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</si>
  <si>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</si>
  <si>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>Прочие активы</t>
  </si>
  <si>
    <t>Председатель Правления                  Ибрагимов К.Б.                          _____________________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</si>
  <si>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</si>
  <si>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</si>
  <si>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</si>
  <si>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Активы по договорам</t>
  </si>
  <si>
    <t>Дивиденды</t>
  </si>
  <si>
    <t>Убыток от обесценения основных средств и нематериальных активов</t>
  </si>
  <si>
    <t xml:space="preserve"> </t>
  </si>
  <si>
    <t>по состоянию  на "31" марта 2021 года</t>
  </si>
  <si>
    <t>за период, закончившийся  "31" марта 2021 года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</si>
  <si>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</si>
  <si>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</si>
  <si>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</t>
  </si>
  <si>
    <t>Денежные средства, уплаченные работникам</t>
  </si>
  <si>
    <t>Подоходный налог и другие платежи в бюджет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</si>
  <si>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</si>
  <si>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</si>
  <si>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</si>
  <si>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</si>
  <si>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</si>
  <si>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</si>
  <si>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</si>
  <si>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</si>
  <si>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 xml:space="preserve">Предоставление займов 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</si>
  <si>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</si>
  <si>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</si>
  <si>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</si>
  <si>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</si>
  <si>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Получение заемных средств</t>
  </si>
  <si>
    <t>Погашение заемных средств</t>
  </si>
  <si>
    <t>Выкуп собственных облигаций</t>
  </si>
  <si>
    <t>Выплата дивидендов</t>
  </si>
  <si>
    <t>Прочие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</si>
  <si>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</si>
  <si>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</si>
  <si>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</si>
  <si>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</si>
  <si>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</si>
  <si>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Консолидированный отчет о движении денежных средств АО "Батыс т ранзит"</t>
  </si>
  <si>
    <t>Консолидированный отчет о финансовом положении АО "Батыс транзит"</t>
  </si>
  <si>
    <t>Консолидированный отчет о  прибыли и убытке  и прочем совокупном  доходе за период, закончившийся "31" марта 2021 года</t>
  </si>
  <si>
    <t>за период, закончившийся "31" марта 2021 года</t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</si>
  <si>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</si>
  <si>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</si>
  <si>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</si>
  <si>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</si>
  <si>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Остаток на 1 января 2020г.</t>
  </si>
  <si>
    <t>Прибыль и общий совокупный доход за год</t>
  </si>
  <si>
    <t>-</t>
  </si>
  <si>
    <t>Дивиденды акционерам</t>
  </si>
  <si>
    <t>Перевод в прочие резервы (Примечание 16)</t>
  </si>
  <si>
    <t>Остаток на 31 декабря 2020г.</t>
  </si>
  <si>
    <t>Остаток на 1 января 2021г.</t>
  </si>
  <si>
    <t xml:space="preserve">Дивиденды объявленные  </t>
  </si>
  <si>
    <t>Остаток на 31 марта 2021г.</t>
  </si>
  <si>
    <t>Консолидированный отчет об изменениях в собственном капитале  АО "Батыс транзит"</t>
  </si>
  <si>
    <t>Балансовая стоимость  1 простой акции  на 31 марта 2021г.  63,274 тыс.тенге.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</si>
</sst>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\-0.00"/>
    <numFmt numFmtId="181" formatCode="0;[Red]\-0"/>
    <numFmt numFmtId="182" formatCode="0.0;[Red]\-0.0"/>
    <numFmt numFmtId="183" formatCode="_-* #,##0.0_р_._-;\-* #,##0.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0&quot;р.&quot;_-;\(* #,##0.00&quot;р.&quot;_-\);_-* &quot;-&quot;??&quot;р.&quot;_-;_-@_-"/>
    <numFmt numFmtId="191" formatCode="_-* #,##0.00&quot;р.&quot;_-;\(\ #,##0.00_-\);_-* &quot;-&quot;??&quot;р.&quot;_-;_-@_-"/>
    <numFmt numFmtId="192" formatCode="_-* #,##0.0&quot;р.&quot;_-;\(\ #,##0.0_-\);_-* &quot;-&quot;??&quot;р.&quot;_-;_-@_-"/>
    <numFmt numFmtId="193" formatCode="_-* #,##0&quot;р.&quot;_-;\(\ #,##0_-\);_-* &quot;-&quot;??&quot;р.&quot;_-;_-@_-"/>
    <numFmt numFmtId="194" formatCode="_-* #,##0_-;\(\ #,##0_-\);_-* &quot;-&quot;??_-;_-@_-"/>
    <numFmt numFmtId="195" formatCode="#,##0.00_ ;[Red]\-#,##0.00\ "/>
    <numFmt numFmtId="196" formatCode="0.00_ ;[Red]\-0.00\ "/>
    <numFmt numFmtId="197" formatCode="#,##0.000_ ;[Red]\-#,##0.000\ "/>
    <numFmt numFmtId="198" formatCode="#,##0.00;[Red]\-#,##0.00"/>
    <numFmt numFmtId="199" formatCode="dd/mm/yy;@"/>
    <numFmt numFmtId="200" formatCode="0.000"/>
    <numFmt numFmtId="201" formatCode="#,##0.000"/>
    <numFmt numFmtId="202" formatCode="0.0%"/>
    <numFmt numFmtId="203" formatCode="#,##0_ ;[Red]\-#,##0\ "/>
    <numFmt numFmtId="204" formatCode="0.0000"/>
    <numFmt numFmtId="205" formatCode="0.0000000"/>
    <numFmt numFmtId="206" formatCode="0.000000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#,##0_);\(#,##0\);\-_);@"/>
    <numFmt numFmtId="211" formatCode="_ * #,##0_)_р_._ ;_ * \(#,##0\)_р_._ ;_ * &quot;-&quot;??_)_р_._ ;_ @_ "/>
    <numFmt numFmtId="212" formatCode="_-* #,##0.000_р_._-;\-* #,##0.000_р_._-;_-* &quot;-&quot;??_р_._-;_-@_-"/>
    <numFmt numFmtId="213" formatCode="_-* #,##0_р_._-;\-* #,##0_р_._-;_-* &quot;-&quot;??_р_._-;_-@_-"/>
    <numFmt numFmtId="214" formatCode="_-* #,##0.00_-;\-* #,##0.00_-;_-* &quot;-&quot;??_-;_-@_-"/>
    <numFmt numFmtId="215" formatCode="mmm/yyyy"/>
    <numFmt numFmtId="216" formatCode="_-* #,##0.0\ _р_._-;\-* #,##0.0\ _р_._-;_-* &quot;-&quot;?\ _р_._-;_-@_-"/>
    <numFmt numFmtId="217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194" fontId="4" fillId="33" borderId="0" xfId="58" applyNumberFormat="1" applyFont="1" applyFill="1" applyBorder="1" applyAlignment="1">
      <alignment horizontal="right" vertical="center" wrapText="1"/>
      <protection/>
    </xf>
    <xf numFmtId="194" fontId="4" fillId="33" borderId="10" xfId="58" applyNumberFormat="1" applyFont="1" applyFill="1" applyBorder="1" applyAlignment="1">
      <alignment horizontal="right" vertical="center" wrapText="1"/>
      <protection/>
    </xf>
    <xf numFmtId="0" fontId="52" fillId="0" borderId="0" xfId="0" applyFont="1" applyAlignment="1">
      <alignment horizontal="right" vertical="center" wrapText="1"/>
    </xf>
    <xf numFmtId="194" fontId="5" fillId="33" borderId="0" xfId="58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200" fontId="53" fillId="33" borderId="0" xfId="0" applyNumberFormat="1" applyFont="1" applyFill="1" applyAlignment="1">
      <alignment horizontal="center" vertical="center" wrapText="1"/>
    </xf>
    <xf numFmtId="200" fontId="53" fillId="33" borderId="10" xfId="0" applyNumberFormat="1" applyFont="1" applyFill="1" applyBorder="1" applyAlignment="1">
      <alignment horizontal="center" vertical="center" wrapText="1"/>
    </xf>
    <xf numFmtId="200" fontId="52" fillId="33" borderId="0" xfId="0" applyNumberFormat="1" applyFont="1" applyFill="1" applyAlignment="1">
      <alignment vertical="center" wrapText="1"/>
    </xf>
    <xf numFmtId="3" fontId="52" fillId="33" borderId="0" xfId="0" applyNumberFormat="1" applyFont="1" applyFill="1" applyAlignment="1">
      <alignment horizontal="right" vertical="center" wrapText="1"/>
    </xf>
    <xf numFmtId="0" fontId="6" fillId="33" borderId="0" xfId="46" applyFont="1" applyFill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>
      <alignment horizontal="right" vertical="center" wrapText="1"/>
    </xf>
    <xf numFmtId="3" fontId="53" fillId="33" borderId="12" xfId="0" applyNumberFormat="1" applyFont="1" applyFill="1" applyBorder="1" applyAlignment="1">
      <alignment horizontal="right" vertical="center" wrapText="1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horizontal="right" vertical="center" wrapText="1"/>
    </xf>
    <xf numFmtId="200" fontId="54" fillId="33" borderId="0" xfId="0" applyNumberFormat="1" applyFont="1" applyFill="1" applyAlignment="1">
      <alignment vertical="center" wrapText="1"/>
    </xf>
    <xf numFmtId="3" fontId="53" fillId="33" borderId="13" xfId="0" applyNumberFormat="1" applyFont="1" applyFill="1" applyBorder="1" applyAlignment="1">
      <alignment horizontal="right" vertical="center" wrapText="1"/>
    </xf>
    <xf numFmtId="200" fontId="0" fillId="33" borderId="0" xfId="0" applyNumberFormat="1" applyFill="1" applyAlignment="1">
      <alignment horizontal="right"/>
    </xf>
    <xf numFmtId="200" fontId="0" fillId="33" borderId="0" xfId="0" applyNumberFormat="1" applyFill="1" applyAlignment="1">
      <alignment/>
    </xf>
    <xf numFmtId="0" fontId="53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right"/>
    </xf>
    <xf numFmtId="194" fontId="5" fillId="33" borderId="10" xfId="58" applyNumberFormat="1" applyFont="1" applyFill="1" applyBorder="1" applyAlignment="1">
      <alignment horizontal="right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vertical="top"/>
    </xf>
    <xf numFmtId="4" fontId="4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42" fillId="33" borderId="0" xfId="0" applyNumberFormat="1" applyFon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3" fontId="55" fillId="33" borderId="14" xfId="0" applyNumberFormat="1" applyFont="1" applyFill="1" applyBorder="1" applyAlignment="1">
      <alignment vertical="center" wrapText="1"/>
    </xf>
    <xf numFmtId="194" fontId="4" fillId="33" borderId="13" xfId="58" applyNumberFormat="1" applyFont="1" applyFill="1" applyBorder="1" applyAlignment="1">
      <alignment horizontal="right" vertical="center" wrapText="1"/>
      <protection/>
    </xf>
    <xf numFmtId="3" fontId="52" fillId="33" borderId="13" xfId="0" applyNumberFormat="1" applyFont="1" applyFill="1" applyBorder="1" applyAlignment="1">
      <alignment horizontal="right" vertical="center"/>
    </xf>
    <xf numFmtId="194" fontId="5" fillId="33" borderId="11" xfId="58" applyNumberFormat="1" applyFont="1" applyFill="1" applyBorder="1" applyAlignment="1">
      <alignment horizontal="right" vertical="center" wrapText="1"/>
      <protection/>
    </xf>
    <xf numFmtId="194" fontId="5" fillId="33" borderId="15" xfId="58" applyNumberFormat="1" applyFont="1" applyFill="1" applyBorder="1" applyAlignment="1">
      <alignment horizontal="right" vertical="center" wrapText="1"/>
      <protection/>
    </xf>
    <xf numFmtId="194" fontId="5" fillId="33" borderId="16" xfId="58" applyNumberFormat="1" applyFont="1" applyFill="1" applyBorder="1" applyAlignment="1">
      <alignment horizontal="right" vertical="center" wrapText="1"/>
      <protection/>
    </xf>
    <xf numFmtId="4" fontId="9" fillId="33" borderId="17" xfId="60" applyNumberFormat="1" applyFont="1" applyFill="1" applyBorder="1" applyAlignment="1">
      <alignment horizontal="right" vertical="top" wrapText="1"/>
      <protection/>
    </xf>
    <xf numFmtId="213" fontId="0" fillId="33" borderId="0" xfId="68" applyNumberFormat="1" applyFont="1" applyFill="1" applyAlignment="1">
      <alignment/>
    </xf>
    <xf numFmtId="3" fontId="52" fillId="33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194" fontId="0" fillId="33" borderId="0" xfId="0" applyNumberFormat="1" applyFill="1" applyBorder="1" applyAlignment="1">
      <alignment vertical="center"/>
    </xf>
    <xf numFmtId="9" fontId="0" fillId="0" borderId="0" xfId="65" applyFont="1" applyAlignment="1">
      <alignment/>
    </xf>
    <xf numFmtId="200" fontId="53" fillId="33" borderId="18" xfId="0" applyNumberFormat="1" applyFont="1" applyFill="1" applyBorder="1" applyAlignment="1">
      <alignment vertical="center" wrapText="1"/>
    </xf>
    <xf numFmtId="3" fontId="52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0" fontId="8" fillId="33" borderId="0" xfId="60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 horizontal="center" vertical="center"/>
    </xf>
    <xf numFmtId="0" fontId="9" fillId="33" borderId="0" xfId="60" applyNumberFormat="1" applyFont="1" applyFill="1" applyBorder="1" applyAlignment="1">
      <alignment vertical="top" wrapText="1"/>
      <protection/>
    </xf>
    <xf numFmtId="4" fontId="9" fillId="33" borderId="0" xfId="60" applyNumberFormat="1" applyFont="1" applyFill="1" applyBorder="1" applyAlignment="1">
      <alignment horizontal="right" vertical="center" wrapText="1"/>
      <protection/>
    </xf>
    <xf numFmtId="4" fontId="9" fillId="33" borderId="0" xfId="60" applyNumberFormat="1" applyFont="1" applyFill="1" applyBorder="1" applyAlignment="1">
      <alignment horizontal="right" vertical="top" wrapText="1"/>
      <protection/>
    </xf>
    <xf numFmtId="4" fontId="9" fillId="33" borderId="0" xfId="60" applyNumberFormat="1" applyFont="1" applyFill="1" applyBorder="1" applyAlignment="1">
      <alignment vertical="center" wrapText="1"/>
      <protection/>
    </xf>
    <xf numFmtId="0" fontId="9" fillId="33" borderId="0" xfId="60" applyNumberFormat="1" applyFont="1" applyFill="1" applyBorder="1" applyAlignment="1">
      <alignment vertical="center" wrapText="1"/>
      <protection/>
    </xf>
    <xf numFmtId="0" fontId="8" fillId="33" borderId="0" xfId="60" applyNumberFormat="1" applyFont="1" applyFill="1" applyBorder="1" applyAlignment="1">
      <alignment vertical="top" wrapText="1"/>
      <protection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4" fontId="2" fillId="33" borderId="0" xfId="60" applyNumberFormat="1" applyFont="1" applyFill="1" applyBorder="1" applyAlignment="1">
      <alignment horizontal="right" vertical="top" wrapText="1"/>
      <protection/>
    </xf>
    <xf numFmtId="200" fontId="53" fillId="33" borderId="0" xfId="0" applyNumberFormat="1" applyFont="1" applyFill="1" applyAlignment="1">
      <alignment horizontal="right" vertical="center" wrapText="1"/>
    </xf>
    <xf numFmtId="3" fontId="0" fillId="33" borderId="0" xfId="0" applyNumberFormat="1" applyFill="1" applyAlignment="1">
      <alignment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5" fillId="33" borderId="0" xfId="58" applyFont="1" applyFill="1" applyAlignment="1">
      <alignment horizontal="center"/>
      <protection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200" fontId="53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3" fontId="52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Fill="1" applyAlignment="1">
      <alignment horizontal="right" vertical="center" wrapText="1"/>
    </xf>
    <xf numFmtId="14" fontId="53" fillId="33" borderId="0" xfId="0" applyNumberFormat="1" applyFont="1" applyFill="1" applyAlignment="1">
      <alignment horizontal="center" vertical="center"/>
    </xf>
    <xf numFmtId="3" fontId="55" fillId="33" borderId="0" xfId="0" applyNumberFormat="1" applyFont="1" applyFill="1" applyAlignment="1">
      <alignment vertical="center" wrapText="1"/>
    </xf>
    <xf numFmtId="9" fontId="0" fillId="33" borderId="0" xfId="65" applyFont="1" applyFill="1" applyAlignment="1">
      <alignment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vertical="center"/>
    </xf>
    <xf numFmtId="0" fontId="59" fillId="0" borderId="0" xfId="0" applyFont="1" applyAlignment="1">
      <alignment vertical="center" wrapText="1"/>
    </xf>
    <xf numFmtId="14" fontId="5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3" fontId="4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3" fontId="52" fillId="33" borderId="0" xfId="0" applyNumberFormat="1" applyFont="1" applyFill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 wrapText="1"/>
    </xf>
    <xf numFmtId="3" fontId="5" fillId="33" borderId="0" xfId="0" applyNumberFormat="1" applyFont="1" applyFill="1" applyAlignment="1">
      <alignment horizontal="right" vertical="center"/>
    </xf>
    <xf numFmtId="3" fontId="53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right"/>
    </xf>
    <xf numFmtId="194" fontId="5" fillId="33" borderId="19" xfId="58" applyNumberFormat="1" applyFont="1" applyFill="1" applyBorder="1" applyAlignment="1">
      <alignment vertical="center" wrapText="1"/>
      <protection/>
    </xf>
    <xf numFmtId="194" fontId="5" fillId="33" borderId="0" xfId="58" applyNumberFormat="1" applyFont="1" applyFill="1" applyBorder="1" applyAlignment="1">
      <alignment vertical="center" wrapText="1"/>
      <protection/>
    </xf>
    <xf numFmtId="3" fontId="4" fillId="33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53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2" fillId="33" borderId="0" xfId="0" applyFont="1" applyFill="1" applyAlignment="1">
      <alignment horizontal="right" vertical="center" wrapText="1"/>
    </xf>
    <xf numFmtId="0" fontId="52" fillId="33" borderId="0" xfId="0" applyFont="1" applyFill="1" applyBorder="1" applyAlignment="1">
      <alignment horizontal="right" vertical="center" wrapText="1"/>
    </xf>
    <xf numFmtId="3" fontId="52" fillId="33" borderId="0" xfId="0" applyNumberFormat="1" applyFont="1" applyFill="1" applyBorder="1" applyAlignment="1">
      <alignment horizontal="right" vertical="center" wrapText="1"/>
    </xf>
    <xf numFmtId="3" fontId="53" fillId="0" borderId="12" xfId="0" applyNumberFormat="1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52" fillId="0" borderId="0" xfId="0" applyFont="1" applyBorder="1" applyAlignment="1">
      <alignment horizontal="right" vertical="center" wrapText="1"/>
    </xf>
    <xf numFmtId="194" fontId="52" fillId="0" borderId="0" xfId="0" applyNumberFormat="1" applyFont="1" applyBorder="1" applyAlignment="1">
      <alignment horizontal="right" vertical="center" wrapText="1"/>
    </xf>
    <xf numFmtId="194" fontId="5" fillId="33" borderId="12" xfId="58" applyNumberFormat="1" applyFont="1" applyFill="1" applyBorder="1" applyAlignment="1">
      <alignment horizontal="right" vertical="center" wrapText="1"/>
      <protection/>
    </xf>
    <xf numFmtId="3" fontId="53" fillId="0" borderId="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/>
    </xf>
    <xf numFmtId="0" fontId="58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left" vertical="center" wrapText="1"/>
    </xf>
    <xf numFmtId="0" fontId="5" fillId="33" borderId="0" xfId="58" applyFont="1" applyFill="1" applyAlignment="1">
      <alignment horizontal="center"/>
      <protection/>
    </xf>
    <xf numFmtId="0" fontId="53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200" fontId="53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3" fontId="5" fillId="33" borderId="19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10" fillId="33" borderId="0" xfId="59" applyFont="1" applyFill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52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61" fillId="33" borderId="0" xfId="0" applyFont="1" applyFill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72;&#1103;%20&#1082;&#1086;&#1085;&#1089;&#1086;&#1083;&#1080;&#1076;&#1072;&#1094;&#1080;&#1103;%202021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У"/>
      <sheetName val="Баланс"/>
      <sheetName val="Лист1"/>
      <sheetName val="Деньги"/>
      <sheetName val="Капитал"/>
      <sheetName val="оно"/>
    </sheetNames>
    <sheetDataSet>
      <sheetData sheetId="0">
        <row r="17">
          <cell r="I17">
            <v>627732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workbookViewId="0" topLeftCell="A1">
      <selection activeCell="D32" sqref="D32"/>
    </sheetView>
  </sheetViews>
  <sheetFormatPr defaultColWidth="9.140625" defaultRowHeight="15"/>
  <cols>
    <col min="1" max="1" width="35.00390625" style="0" customWidth="1"/>
    <col min="3" max="3" width="14.57421875" style="5" customWidth="1"/>
    <col min="4" max="4" width="10.140625" style="0" bestFit="1" customWidth="1"/>
    <col min="5" max="5" width="14.00390625" style="0" customWidth="1"/>
    <col min="7" max="7" width="50.00390625" style="24" customWidth="1"/>
    <col min="8" max="8" width="15.7109375" style="24" customWidth="1"/>
    <col min="9" max="9" width="14.7109375" style="24" customWidth="1"/>
    <col min="10" max="11" width="9.140625" style="24" customWidth="1"/>
    <col min="12" max="12" width="17.7109375" style="24" customWidth="1"/>
    <col min="13" max="13" width="14.00390625" style="24" customWidth="1"/>
    <col min="14" max="14" width="13.8515625" style="24" customWidth="1"/>
    <col min="15" max="15" width="9.140625" style="24" customWidth="1"/>
  </cols>
  <sheetData>
    <row r="1" spans="1:11" ht="34.5" customHeight="1">
      <c r="A1" s="118" t="s">
        <v>92</v>
      </c>
      <c r="B1" s="118"/>
      <c r="C1" s="118"/>
      <c r="D1" s="118"/>
      <c r="E1" s="118"/>
      <c r="K1" s="24" t="s">
        <v>59</v>
      </c>
    </row>
    <row r="2" spans="1:6" ht="15.75">
      <c r="A2" s="118"/>
      <c r="B2" s="118"/>
      <c r="C2" s="118"/>
      <c r="D2" s="118"/>
      <c r="E2" s="118"/>
      <c r="F2" s="41"/>
    </row>
    <row r="3" spans="1:8" ht="15" customHeight="1">
      <c r="A3" s="67"/>
      <c r="B3" s="117" t="s">
        <v>40</v>
      </c>
      <c r="C3" s="75">
        <v>44286</v>
      </c>
      <c r="D3" s="20"/>
      <c r="E3" s="75">
        <v>43921</v>
      </c>
      <c r="H3" s="30"/>
    </row>
    <row r="4" spans="1:12" ht="15.75" thickBot="1">
      <c r="A4" s="70"/>
      <c r="B4" s="117"/>
      <c r="C4" s="23" t="s">
        <v>0</v>
      </c>
      <c r="D4" s="68"/>
      <c r="E4" s="23" t="s">
        <v>0</v>
      </c>
      <c r="G4" s="43"/>
      <c r="H4" s="51"/>
      <c r="K4" s="31"/>
      <c r="L4" s="42"/>
    </row>
    <row r="5" spans="1:12" ht="15">
      <c r="A5" s="78" t="s">
        <v>50</v>
      </c>
      <c r="B5" s="69">
        <v>5</v>
      </c>
      <c r="C5" s="47">
        <f>1819496+726418+1</f>
        <v>2545915</v>
      </c>
      <c r="D5" s="47"/>
      <c r="E5" s="47">
        <f>1487483+1039386</f>
        <v>2526869</v>
      </c>
      <c r="G5" s="52"/>
      <c r="H5" s="30"/>
      <c r="I5" s="53"/>
      <c r="K5" s="31"/>
      <c r="L5" s="30"/>
    </row>
    <row r="6" spans="1:14" ht="15">
      <c r="A6" s="78" t="s">
        <v>41</v>
      </c>
      <c r="B6" s="69">
        <v>6</v>
      </c>
      <c r="C6" s="1">
        <f>-996724-473447-222453</f>
        <v>-1692624</v>
      </c>
      <c r="D6" s="70"/>
      <c r="E6" s="1">
        <f>-1017101-588192-36426</f>
        <v>-1641719</v>
      </c>
      <c r="G6" s="54"/>
      <c r="H6" s="55"/>
      <c r="I6" s="29"/>
      <c r="K6" s="31"/>
      <c r="L6" s="56"/>
      <c r="M6" s="26"/>
      <c r="N6" s="26"/>
    </row>
    <row r="7" spans="1:14" ht="15">
      <c r="A7" s="79" t="s">
        <v>42</v>
      </c>
      <c r="B7" s="69"/>
      <c r="C7" s="32">
        <f>SUM(C5:C6)</f>
        <v>853291</v>
      </c>
      <c r="D7" s="70"/>
      <c r="E7" s="32">
        <f>SUM(E5:E6)</f>
        <v>885150</v>
      </c>
      <c r="G7" s="54"/>
      <c r="H7" s="55"/>
      <c r="I7" s="29"/>
      <c r="K7" s="31"/>
      <c r="L7" s="56"/>
      <c r="M7" s="26"/>
      <c r="N7" s="26"/>
    </row>
    <row r="8" spans="1:14" ht="15">
      <c r="A8" s="78" t="s">
        <v>1</v>
      </c>
      <c r="B8" s="69">
        <v>7</v>
      </c>
      <c r="C8" s="33">
        <f>-66499-382893+222453+26832+1-5061</f>
        <v>-205167</v>
      </c>
      <c r="D8" s="1"/>
      <c r="E8" s="33">
        <v>-158407</v>
      </c>
      <c r="G8" s="54"/>
      <c r="H8" s="56"/>
      <c r="I8" s="57"/>
      <c r="K8" s="31"/>
      <c r="L8" s="56"/>
      <c r="M8" s="26"/>
      <c r="N8" s="26"/>
    </row>
    <row r="9" spans="1:14" ht="15">
      <c r="A9" s="78" t="s">
        <v>43</v>
      </c>
      <c r="B9" s="69">
        <v>8</v>
      </c>
      <c r="C9" s="47">
        <f>28205-26832-1-531</f>
        <v>841</v>
      </c>
      <c r="D9" s="13"/>
      <c r="E9" s="1">
        <v>7618</v>
      </c>
      <c r="G9" s="58"/>
      <c r="H9" s="57"/>
      <c r="I9" s="57"/>
      <c r="K9" s="31"/>
      <c r="N9" s="27"/>
    </row>
    <row r="10" spans="1:11" ht="30">
      <c r="A10" s="78" t="s">
        <v>58</v>
      </c>
      <c r="B10" s="69"/>
      <c r="C10" s="1"/>
      <c r="D10" s="13"/>
      <c r="E10" s="1"/>
      <c r="G10" s="54"/>
      <c r="H10" s="57"/>
      <c r="I10" s="57"/>
      <c r="K10" s="64"/>
    </row>
    <row r="11" spans="1:12" ht="28.5">
      <c r="A11" s="79" t="s">
        <v>44</v>
      </c>
      <c r="B11" s="69"/>
      <c r="C11" s="32">
        <f>SUM(C7:C9)</f>
        <v>648965</v>
      </c>
      <c r="D11" s="67"/>
      <c r="E11" s="32">
        <f>SUM(E7:E10)</f>
        <v>734361</v>
      </c>
      <c r="G11" s="54"/>
      <c r="H11" s="56"/>
      <c r="I11" s="28"/>
      <c r="K11" s="64"/>
      <c r="L11" s="25"/>
    </row>
    <row r="12" spans="1:12" ht="15">
      <c r="A12" s="78" t="s">
        <v>37</v>
      </c>
      <c r="B12" s="69">
        <v>9</v>
      </c>
      <c r="C12" s="34">
        <f>221066+241754+4114+1</f>
        <v>466935</v>
      </c>
      <c r="D12" s="47"/>
      <c r="E12" s="34">
        <v>184910</v>
      </c>
      <c r="G12" s="54"/>
      <c r="H12" s="56"/>
      <c r="K12" s="31"/>
      <c r="L12" s="25"/>
    </row>
    <row r="13" spans="1:12" ht="15">
      <c r="A13" s="78" t="s">
        <v>38</v>
      </c>
      <c r="B13" s="69">
        <v>9</v>
      </c>
      <c r="C13" s="1">
        <f>-332881</f>
        <v>-332881</v>
      </c>
      <c r="D13" s="70"/>
      <c r="E13" s="1">
        <f>-510229+1013+1</f>
        <v>-509215</v>
      </c>
      <c r="G13" s="54"/>
      <c r="H13" s="56"/>
      <c r="K13" s="3"/>
      <c r="L13" s="25"/>
    </row>
    <row r="14" spans="1:12" ht="15.75" thickBot="1">
      <c r="A14" s="79" t="s">
        <v>39</v>
      </c>
      <c r="B14" s="69"/>
      <c r="C14" s="35">
        <f>SUM(C12:C13)</f>
        <v>134054</v>
      </c>
      <c r="D14" s="76"/>
      <c r="E14" s="35">
        <f>SUM(E12:E13)</f>
        <v>-324305</v>
      </c>
      <c r="K14" s="31"/>
      <c r="L14" s="56"/>
    </row>
    <row r="15" spans="1:12" ht="15">
      <c r="A15" s="79" t="s">
        <v>45</v>
      </c>
      <c r="B15" s="69"/>
      <c r="C15" s="36">
        <f>C11+C14</f>
        <v>783019</v>
      </c>
      <c r="D15" s="4"/>
      <c r="E15" s="36">
        <f>E11+E14</f>
        <v>410056</v>
      </c>
      <c r="K15" s="31"/>
      <c r="L15" s="56"/>
    </row>
    <row r="16" spans="1:11" ht="15">
      <c r="A16" s="78" t="s">
        <v>46</v>
      </c>
      <c r="B16" s="69">
        <v>10</v>
      </c>
      <c r="C16" s="1">
        <v>-155287</v>
      </c>
      <c r="D16" s="77"/>
      <c r="E16" s="33">
        <v>-82012</v>
      </c>
      <c r="F16" s="45"/>
      <c r="G16" s="59"/>
      <c r="H16" s="60"/>
      <c r="K16" s="65"/>
    </row>
    <row r="17" spans="1:13" ht="29.25" thickBot="1">
      <c r="A17" s="79" t="s">
        <v>49</v>
      </c>
      <c r="B17" s="69"/>
      <c r="C17" s="37">
        <f>C15+C16</f>
        <v>627732</v>
      </c>
      <c r="D17" s="67"/>
      <c r="E17" s="37">
        <f>E15+E16</f>
        <v>328044</v>
      </c>
      <c r="G17" s="52"/>
      <c r="H17" s="51"/>
      <c r="K17" s="65"/>
      <c r="L17" s="47"/>
      <c r="M17" s="44"/>
    </row>
    <row r="18" spans="1:11" ht="15.75" thickTop="1">
      <c r="A18" s="79"/>
      <c r="B18" s="69"/>
      <c r="C18" s="14"/>
      <c r="D18" s="67"/>
      <c r="E18" s="14"/>
      <c r="G18" s="54"/>
      <c r="H18" s="56"/>
      <c r="K18" s="31"/>
    </row>
    <row r="19" spans="1:11" ht="15">
      <c r="A19" s="79" t="s">
        <v>47</v>
      </c>
      <c r="B19" s="69"/>
      <c r="C19" s="14"/>
      <c r="D19" s="67"/>
      <c r="E19" s="14"/>
      <c r="G19" s="54"/>
      <c r="H19" s="56"/>
      <c r="K19" s="43"/>
    </row>
    <row r="20" spans="1:9" ht="15.75" thickBot="1">
      <c r="A20" s="78" t="s">
        <v>48</v>
      </c>
      <c r="B20" s="69"/>
      <c r="C20" s="22">
        <f>C17/30000*1000</f>
        <v>20924.399999999998</v>
      </c>
      <c r="D20" s="67"/>
      <c r="E20" s="22">
        <f>E17/30000*1000</f>
        <v>10934.8</v>
      </c>
      <c r="G20" s="52"/>
      <c r="H20" s="51"/>
      <c r="I20" s="56"/>
    </row>
    <row r="21" spans="1:8" ht="15">
      <c r="A21" s="5"/>
      <c r="B21" s="5"/>
      <c r="D21" s="5"/>
      <c r="E21" s="5"/>
      <c r="G21" s="43"/>
      <c r="H21" s="27"/>
    </row>
    <row r="22" spans="1:8" ht="15">
      <c r="A22" s="5"/>
      <c r="B22" s="5"/>
      <c r="D22" s="5"/>
      <c r="E22" s="5"/>
      <c r="H22" s="61"/>
    </row>
    <row r="23" spans="1:8" ht="15.75" customHeight="1">
      <c r="A23" s="119" t="s">
        <v>52</v>
      </c>
      <c r="B23" s="119"/>
      <c r="C23" s="119"/>
      <c r="D23" s="119"/>
      <c r="E23" s="119"/>
      <c r="H23" s="25"/>
    </row>
    <row r="24" spans="1:5" ht="15.75" customHeight="1">
      <c r="A24" s="116" t="s">
        <v>53</v>
      </c>
      <c r="B24" s="116"/>
      <c r="C24" s="116"/>
      <c r="D24" s="116"/>
      <c r="E24" s="116"/>
    </row>
    <row r="25" spans="1:5" ht="15.75">
      <c r="A25" s="80"/>
      <c r="B25" s="5"/>
      <c r="D25" s="5"/>
      <c r="E25" s="5"/>
    </row>
    <row r="26" spans="1:5" ht="15.75" customHeight="1">
      <c r="A26" s="119" t="s">
        <v>54</v>
      </c>
      <c r="B26" s="119"/>
      <c r="C26" s="119"/>
      <c r="D26" s="119"/>
      <c r="E26" s="119"/>
    </row>
    <row r="27" spans="1:5" ht="15.75">
      <c r="A27" s="116"/>
      <c r="B27" s="116"/>
      <c r="C27" s="116"/>
      <c r="D27" s="116"/>
      <c r="E27" s="116"/>
    </row>
    <row r="28" spans="1:5" ht="15.75">
      <c r="A28" s="80" t="s">
        <v>55</v>
      </c>
      <c r="B28" s="5"/>
      <c r="D28" s="5"/>
      <c r="E28" s="5"/>
    </row>
    <row r="31" ht="15">
      <c r="C31" s="38"/>
    </row>
  </sheetData>
  <sheetProtection/>
  <mergeCells count="7">
    <mergeCell ref="A27:E27"/>
    <mergeCell ref="B3:B4"/>
    <mergeCell ref="A1:E1"/>
    <mergeCell ref="A23:E23"/>
    <mergeCell ref="A24:E24"/>
    <mergeCell ref="A26:E26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workbookViewId="0" topLeftCell="A16">
      <selection activeCell="K38" sqref="K38"/>
    </sheetView>
  </sheetViews>
  <sheetFormatPr defaultColWidth="9.140625" defaultRowHeight="15"/>
  <cols>
    <col min="1" max="1" width="29.8515625" style="5" customWidth="1"/>
    <col min="2" max="3" width="9.140625" style="5" customWidth="1"/>
    <col min="4" max="4" width="16.00390625" style="18" customWidth="1"/>
    <col min="5" max="5" width="9.140625" style="19" customWidth="1"/>
    <col min="6" max="6" width="16.57421875" style="19" customWidth="1"/>
    <col min="7" max="7" width="14.28125" style="5" customWidth="1"/>
    <col min="8" max="8" width="22.421875" style="5" customWidth="1"/>
    <col min="9" max="16384" width="9.140625" style="5" customWidth="1"/>
  </cols>
  <sheetData>
    <row r="1" spans="1:6" ht="15">
      <c r="A1" s="120" t="s">
        <v>91</v>
      </c>
      <c r="B1" s="120"/>
      <c r="C1" s="120"/>
      <c r="D1" s="120"/>
      <c r="E1" s="120"/>
      <c r="F1" s="120"/>
    </row>
    <row r="2" spans="1:6" ht="15">
      <c r="A2" s="120" t="s">
        <v>60</v>
      </c>
      <c r="B2" s="120"/>
      <c r="C2" s="120"/>
      <c r="D2" s="120"/>
      <c r="E2" s="120"/>
      <c r="F2" s="120"/>
    </row>
    <row r="3" spans="1:7" ht="15">
      <c r="A3" s="66"/>
      <c r="B3" s="66"/>
      <c r="C3" s="66"/>
      <c r="D3" s="66"/>
      <c r="E3" s="66"/>
      <c r="F3" s="66"/>
      <c r="G3" s="41"/>
    </row>
    <row r="4" spans="1:7" ht="25.5">
      <c r="A4" s="67"/>
      <c r="B4" s="117" t="s">
        <v>14</v>
      </c>
      <c r="C4" s="68"/>
      <c r="D4" s="6" t="s">
        <v>2</v>
      </c>
      <c r="E4" s="6"/>
      <c r="F4" s="6" t="s">
        <v>3</v>
      </c>
      <c r="G4" s="49"/>
    </row>
    <row r="5" spans="1:7" ht="15.75" thickBot="1">
      <c r="A5" s="70"/>
      <c r="B5" s="117"/>
      <c r="C5" s="68"/>
      <c r="D5" s="7" t="s">
        <v>0</v>
      </c>
      <c r="E5" s="6"/>
      <c r="F5" s="7" t="s">
        <v>0</v>
      </c>
      <c r="G5" s="49"/>
    </row>
    <row r="6" spans="1:7" ht="15">
      <c r="A6" s="67" t="s">
        <v>15</v>
      </c>
      <c r="B6" s="69"/>
      <c r="C6" s="68"/>
      <c r="D6" s="62"/>
      <c r="E6" s="71"/>
      <c r="F6" s="71"/>
      <c r="G6" s="48"/>
    </row>
    <row r="7" spans="1:7" ht="15">
      <c r="A7" s="67" t="s">
        <v>16</v>
      </c>
      <c r="B7" s="69"/>
      <c r="C7" s="69"/>
      <c r="D7" s="62"/>
      <c r="E7" s="8"/>
      <c r="F7" s="71"/>
      <c r="G7" s="48"/>
    </row>
    <row r="8" spans="1:7" ht="15">
      <c r="A8" s="70" t="s">
        <v>7</v>
      </c>
      <c r="B8" s="69">
        <v>11</v>
      </c>
      <c r="C8" s="69"/>
      <c r="D8" s="9">
        <v>8839213</v>
      </c>
      <c r="E8" s="8"/>
      <c r="F8" s="9">
        <v>9304298</v>
      </c>
      <c r="G8" s="50"/>
    </row>
    <row r="9" spans="1:7" ht="15">
      <c r="A9" s="70" t="s">
        <v>6</v>
      </c>
      <c r="B9" s="10">
        <v>12</v>
      </c>
      <c r="C9" s="69"/>
      <c r="D9" s="9">
        <f>3492186+426937+1+36250</f>
        <v>3955374</v>
      </c>
      <c r="E9" s="8"/>
      <c r="F9" s="9">
        <v>4055452</v>
      </c>
      <c r="G9" s="50"/>
    </row>
    <row r="10" spans="1:7" ht="25.5">
      <c r="A10" s="70" t="s">
        <v>19</v>
      </c>
      <c r="B10" s="69">
        <v>13</v>
      </c>
      <c r="C10" s="69"/>
      <c r="D10" s="9">
        <f>3125286-54569</f>
        <v>3070717</v>
      </c>
      <c r="E10" s="8"/>
      <c r="F10" s="9">
        <v>1710470</v>
      </c>
      <c r="G10" s="50"/>
    </row>
    <row r="11" spans="1:7" ht="15">
      <c r="A11" s="70" t="s">
        <v>56</v>
      </c>
      <c r="B11" s="10"/>
      <c r="C11" s="69"/>
      <c r="D11" s="9"/>
      <c r="E11" s="8"/>
      <c r="F11" s="9">
        <v>963956</v>
      </c>
      <c r="G11" s="50"/>
    </row>
    <row r="12" spans="1:7" ht="15">
      <c r="A12" s="70" t="s">
        <v>17</v>
      </c>
      <c r="B12" s="69">
        <v>15</v>
      </c>
      <c r="C12" s="69"/>
      <c r="D12" s="9">
        <f>1194380+50000</f>
        <v>1244380</v>
      </c>
      <c r="E12" s="8"/>
      <c r="F12" s="9">
        <f>1194380+50000</f>
        <v>1244380</v>
      </c>
      <c r="G12" s="50"/>
    </row>
    <row r="13" spans="1:7" ht="15">
      <c r="A13" s="70" t="s">
        <v>51</v>
      </c>
      <c r="B13" s="69"/>
      <c r="C13" s="69"/>
      <c r="D13" s="9"/>
      <c r="E13" s="8"/>
      <c r="F13" s="9"/>
      <c r="G13" s="50"/>
    </row>
    <row r="14" spans="1:7" ht="15.75" thickBot="1">
      <c r="A14" s="67" t="s">
        <v>12</v>
      </c>
      <c r="B14" s="69"/>
      <c r="C14" s="69"/>
      <c r="D14" s="11">
        <f>SUM(D8:D13)</f>
        <v>17109684</v>
      </c>
      <c r="E14" s="8"/>
      <c r="F14" s="11">
        <f>SUM(F8:F13)</f>
        <v>17278556</v>
      </c>
      <c r="G14" s="48"/>
    </row>
    <row r="15" spans="1:7" ht="15">
      <c r="A15" s="70"/>
      <c r="B15" s="69"/>
      <c r="C15" s="69"/>
      <c r="D15" s="62"/>
      <c r="E15" s="8"/>
      <c r="F15" s="71"/>
      <c r="G15" s="48"/>
    </row>
    <row r="16" spans="1:7" ht="15">
      <c r="A16" s="67" t="s">
        <v>18</v>
      </c>
      <c r="B16" s="69"/>
      <c r="C16" s="69"/>
      <c r="D16" s="62"/>
      <c r="E16" s="8"/>
      <c r="F16" s="71"/>
      <c r="G16" s="48"/>
    </row>
    <row r="17" spans="1:7" ht="25.5">
      <c r="A17" s="70" t="s">
        <v>4</v>
      </c>
      <c r="B17" s="69">
        <v>16</v>
      </c>
      <c r="C17" s="69"/>
      <c r="D17" s="9">
        <f>11915830-11230995+669+1</f>
        <v>685505</v>
      </c>
      <c r="E17" s="8"/>
      <c r="F17" s="9">
        <v>1371250</v>
      </c>
      <c r="G17" s="50"/>
    </row>
    <row r="18" spans="1:7" ht="15">
      <c r="A18" s="70" t="s">
        <v>17</v>
      </c>
      <c r="B18" s="69">
        <v>15</v>
      </c>
      <c r="C18" s="69"/>
      <c r="D18" s="9">
        <f>11230995-D12-15049</f>
        <v>9971566</v>
      </c>
      <c r="E18" s="8"/>
      <c r="F18" s="9">
        <f>9464491-F12-14586</f>
        <v>8205525</v>
      </c>
      <c r="G18" s="50"/>
    </row>
    <row r="19" spans="1:7" ht="25.5">
      <c r="A19" s="70" t="s">
        <v>19</v>
      </c>
      <c r="B19" s="69">
        <v>13</v>
      </c>
      <c r="C19" s="69"/>
      <c r="D19" s="9">
        <f>6150705+4022+15049+3807</f>
        <v>6173583</v>
      </c>
      <c r="E19" s="8"/>
      <c r="F19" s="9">
        <v>5628683</v>
      </c>
      <c r="G19" s="50"/>
    </row>
    <row r="20" spans="1:7" ht="15">
      <c r="A20" s="70" t="s">
        <v>56</v>
      </c>
      <c r="B20" s="69"/>
      <c r="C20" s="69"/>
      <c r="D20" s="9">
        <v>1380725</v>
      </c>
      <c r="E20" s="8"/>
      <c r="F20" s="9">
        <v>1565804</v>
      </c>
      <c r="G20" s="50"/>
    </row>
    <row r="21" spans="1:7" ht="15">
      <c r="A21" s="70" t="s">
        <v>20</v>
      </c>
      <c r="B21" s="69">
        <v>14</v>
      </c>
      <c r="C21" s="69"/>
      <c r="D21" s="9">
        <f>1560053-19501-D20+15654-4340+2084-43</f>
        <v>173182</v>
      </c>
      <c r="E21" s="8"/>
      <c r="F21" s="9">
        <v>282236</v>
      </c>
      <c r="G21" s="50"/>
    </row>
    <row r="22" spans="1:7" ht="15">
      <c r="A22" s="70" t="s">
        <v>5</v>
      </c>
      <c r="B22" s="69"/>
      <c r="C22" s="69"/>
      <c r="D22" s="9">
        <v>43136</v>
      </c>
      <c r="E22" s="8"/>
      <c r="F22" s="9">
        <v>38390</v>
      </c>
      <c r="G22" s="50"/>
    </row>
    <row r="23" spans="1:7" ht="15">
      <c r="A23" s="70" t="s">
        <v>21</v>
      </c>
      <c r="B23" s="69"/>
      <c r="C23" s="69"/>
      <c r="D23" s="9">
        <v>3</v>
      </c>
      <c r="E23" s="8"/>
      <c r="F23" s="9">
        <v>3</v>
      </c>
      <c r="G23" s="50"/>
    </row>
    <row r="24" spans="1:7" ht="15.75" thickBot="1">
      <c r="A24" s="67" t="s">
        <v>22</v>
      </c>
      <c r="B24" s="69"/>
      <c r="C24" s="69"/>
      <c r="D24" s="11">
        <f>SUM(D17:D23)</f>
        <v>18427700</v>
      </c>
      <c r="E24" s="8"/>
      <c r="F24" s="11">
        <f>SUM(F17:F23)</f>
        <v>17091891</v>
      </c>
      <c r="G24" s="48"/>
    </row>
    <row r="25" spans="1:8" ht="15.75" thickBot="1">
      <c r="A25" s="67" t="s">
        <v>23</v>
      </c>
      <c r="B25" s="69"/>
      <c r="C25" s="69"/>
      <c r="D25" s="12">
        <f>D14+D24</f>
        <v>35537384</v>
      </c>
      <c r="E25" s="8"/>
      <c r="F25" s="12">
        <f>F14+F24</f>
        <v>34370447</v>
      </c>
      <c r="G25" s="48"/>
      <c r="H25" s="63"/>
    </row>
    <row r="26" spans="1:7" ht="15.75" thickTop="1">
      <c r="A26" s="67"/>
      <c r="B26" s="122"/>
      <c r="C26" s="123"/>
      <c r="D26" s="46"/>
      <c r="E26" s="124"/>
      <c r="F26" s="46"/>
      <c r="G26" s="121"/>
    </row>
    <row r="27" spans="1:7" ht="15">
      <c r="A27" s="67" t="s">
        <v>24</v>
      </c>
      <c r="B27" s="122"/>
      <c r="C27" s="123"/>
      <c r="D27" s="71"/>
      <c r="E27" s="124"/>
      <c r="F27" s="71"/>
      <c r="G27" s="121"/>
    </row>
    <row r="28" spans="1:7" ht="15">
      <c r="A28" s="67" t="s">
        <v>25</v>
      </c>
      <c r="B28" s="69">
        <v>17</v>
      </c>
      <c r="C28" s="70"/>
      <c r="D28" s="62"/>
      <c r="E28" s="71"/>
      <c r="F28" s="8"/>
      <c r="G28" s="50"/>
    </row>
    <row r="29" spans="1:7" ht="15">
      <c r="A29" s="70" t="s">
        <v>26</v>
      </c>
      <c r="B29" s="69"/>
      <c r="C29" s="70"/>
      <c r="D29" s="9">
        <v>300000</v>
      </c>
      <c r="E29" s="8"/>
      <c r="F29" s="9">
        <v>300000</v>
      </c>
      <c r="G29" s="50"/>
    </row>
    <row r="30" spans="1:7" ht="25.5">
      <c r="A30" s="70" t="s">
        <v>10</v>
      </c>
      <c r="B30" s="69"/>
      <c r="C30" s="70"/>
      <c r="D30" s="9">
        <v>182606</v>
      </c>
      <c r="E30" s="8"/>
      <c r="F30" s="9">
        <v>182606</v>
      </c>
      <c r="G30" s="50"/>
    </row>
    <row r="31" spans="1:7" ht="15">
      <c r="A31" s="70" t="s">
        <v>13</v>
      </c>
      <c r="B31" s="69"/>
      <c r="C31" s="70"/>
      <c r="D31" s="9">
        <v>9391994</v>
      </c>
      <c r="E31" s="8"/>
      <c r="F31" s="9">
        <v>9391994</v>
      </c>
      <c r="G31" s="50"/>
    </row>
    <row r="32" spans="1:7" ht="15.75" thickBot="1">
      <c r="A32" s="70" t="s">
        <v>9</v>
      </c>
      <c r="B32" s="69"/>
      <c r="C32" s="70"/>
      <c r="D32" s="2">
        <f>F32+ОПУ!C17</f>
        <v>862840</v>
      </c>
      <c r="E32" s="8"/>
      <c r="F32" s="2">
        <v>235108</v>
      </c>
      <c r="G32" s="13"/>
    </row>
    <row r="33" spans="1:7" ht="15.75" thickBot="1">
      <c r="A33" s="67" t="s">
        <v>27</v>
      </c>
      <c r="B33" s="69"/>
      <c r="C33" s="70"/>
      <c r="D33" s="11">
        <f>SUM(D29:D32)</f>
        <v>10737440</v>
      </c>
      <c r="E33" s="8"/>
      <c r="F33" s="11">
        <f>SUM(F29:F32)</f>
        <v>10109708</v>
      </c>
      <c r="G33" s="14"/>
    </row>
    <row r="34" spans="1:7" ht="15">
      <c r="A34" s="70"/>
      <c r="B34" s="69"/>
      <c r="C34" s="70"/>
      <c r="D34" s="15"/>
      <c r="E34" s="8"/>
      <c r="F34" s="8"/>
      <c r="G34" s="50"/>
    </row>
    <row r="35" spans="1:7" ht="15">
      <c r="A35" s="67" t="s">
        <v>28</v>
      </c>
      <c r="B35" s="69"/>
      <c r="C35" s="70"/>
      <c r="D35" s="15"/>
      <c r="E35" s="8"/>
      <c r="F35" s="8"/>
      <c r="G35" s="50"/>
    </row>
    <row r="36" spans="1:7" ht="15">
      <c r="A36" s="70" t="s">
        <v>29</v>
      </c>
      <c r="B36" s="69">
        <v>19</v>
      </c>
      <c r="C36" s="70"/>
      <c r="D36" s="9">
        <f>12608351</f>
        <v>12608351</v>
      </c>
      <c r="E36" s="8"/>
      <c r="F36" s="9">
        <f>12608351</f>
        <v>12608351</v>
      </c>
      <c r="G36" s="50"/>
    </row>
    <row r="37" spans="1:7" ht="15">
      <c r="A37" s="70" t="s">
        <v>30</v>
      </c>
      <c r="B37" s="69">
        <v>20</v>
      </c>
      <c r="C37" s="70"/>
      <c r="D37" s="9">
        <f>3014380-19501</f>
        <v>2994879</v>
      </c>
      <c r="E37" s="8"/>
      <c r="F37" s="9">
        <f>2759434-19501</f>
        <v>2739933</v>
      </c>
      <c r="G37" s="50"/>
    </row>
    <row r="38" spans="1:7" ht="25.5">
      <c r="A38" s="70" t="s">
        <v>8</v>
      </c>
      <c r="B38" s="69">
        <v>21</v>
      </c>
      <c r="C38" s="70"/>
      <c r="D38" s="9">
        <f>1549653-104455-2</f>
        <v>1445196</v>
      </c>
      <c r="E38" s="8"/>
      <c r="F38" s="9">
        <v>1549653</v>
      </c>
      <c r="G38" s="40"/>
    </row>
    <row r="39" spans="1:7" ht="15.75" thickBot="1">
      <c r="A39" s="67" t="s">
        <v>31</v>
      </c>
      <c r="B39" s="69"/>
      <c r="C39" s="70"/>
      <c r="D39" s="11">
        <f>SUM(D36:D38)</f>
        <v>17048426</v>
      </c>
      <c r="E39" s="8"/>
      <c r="F39" s="11">
        <f>SUM(F36:F38)</f>
        <v>16897937</v>
      </c>
      <c r="G39" s="48"/>
    </row>
    <row r="40" spans="1:7" ht="15">
      <c r="A40" s="67"/>
      <c r="B40" s="69"/>
      <c r="C40" s="70"/>
      <c r="D40" s="15"/>
      <c r="E40" s="8"/>
      <c r="F40" s="8"/>
      <c r="G40" s="50"/>
    </row>
    <row r="41" spans="1:7" ht="15">
      <c r="A41" s="67" t="s">
        <v>32</v>
      </c>
      <c r="B41" s="69"/>
      <c r="C41" s="70"/>
      <c r="D41" s="15"/>
      <c r="E41" s="8"/>
      <c r="F41" s="8"/>
      <c r="G41" s="50"/>
    </row>
    <row r="42" spans="1:7" ht="15">
      <c r="A42" s="70" t="s">
        <v>30</v>
      </c>
      <c r="B42" s="69">
        <v>20</v>
      </c>
      <c r="C42" s="70"/>
      <c r="D42" s="9">
        <f>4308745-D43</f>
        <v>3293268</v>
      </c>
      <c r="E42" s="8"/>
      <c r="F42" s="73">
        <v>3582050</v>
      </c>
      <c r="G42" s="50"/>
    </row>
    <row r="43" spans="1:7" ht="15">
      <c r="A43" s="70" t="s">
        <v>57</v>
      </c>
      <c r="B43" s="69">
        <v>17</v>
      </c>
      <c r="C43" s="70"/>
      <c r="D43" s="9">
        <v>1015477</v>
      </c>
      <c r="E43" s="8"/>
      <c r="F43" s="73">
        <v>1015477</v>
      </c>
      <c r="G43" s="50"/>
    </row>
    <row r="44" spans="1:7" ht="25.5">
      <c r="A44" s="70" t="s">
        <v>33</v>
      </c>
      <c r="B44" s="69">
        <v>22</v>
      </c>
      <c r="C44" s="70"/>
      <c r="D44" s="9">
        <f>1967746+227831+778629+5587-2+228</f>
        <v>2980019</v>
      </c>
      <c r="E44" s="8"/>
      <c r="F44" s="73">
        <v>2079702</v>
      </c>
      <c r="G44" s="50"/>
    </row>
    <row r="45" spans="1:7" ht="15">
      <c r="A45" s="70" t="s">
        <v>11</v>
      </c>
      <c r="B45" s="69">
        <v>23</v>
      </c>
      <c r="C45" s="70"/>
      <c r="D45" s="9">
        <f>466920-4340+174</f>
        <v>462754</v>
      </c>
      <c r="E45" s="16"/>
      <c r="F45" s="74">
        <v>685573</v>
      </c>
      <c r="G45" s="13"/>
    </row>
    <row r="46" spans="1:7" ht="25.5">
      <c r="A46" s="67" t="s">
        <v>34</v>
      </c>
      <c r="B46" s="69"/>
      <c r="C46" s="70"/>
      <c r="D46" s="17">
        <f>SUM(D42:D45)</f>
        <v>7751518</v>
      </c>
      <c r="E46" s="8"/>
      <c r="F46" s="17">
        <f>SUM(F42:F45)</f>
        <v>7362802</v>
      </c>
      <c r="G46" s="48"/>
    </row>
    <row r="47" spans="1:9" ht="15.75" thickBot="1">
      <c r="A47" s="67" t="s">
        <v>35</v>
      </c>
      <c r="B47" s="69"/>
      <c r="C47" s="70"/>
      <c r="D47" s="11">
        <f>D39+D46</f>
        <v>24799944</v>
      </c>
      <c r="E47" s="8"/>
      <c r="F47" s="11">
        <f>F39+F46</f>
        <v>24260739</v>
      </c>
      <c r="G47" s="48"/>
      <c r="H47" s="63"/>
      <c r="I47" s="63"/>
    </row>
    <row r="48" spans="1:8" ht="15.75" thickBot="1">
      <c r="A48" s="67" t="s">
        <v>36</v>
      </c>
      <c r="B48" s="69"/>
      <c r="C48" s="70"/>
      <c r="D48" s="12">
        <f>D33+D47</f>
        <v>35537384</v>
      </c>
      <c r="E48" s="8"/>
      <c r="F48" s="12">
        <f>F33+F47</f>
        <v>34370447</v>
      </c>
      <c r="G48" s="48"/>
      <c r="H48" s="63"/>
    </row>
    <row r="49" spans="4:6" ht="15.75" thickTop="1">
      <c r="D49" s="39">
        <f>D25-D48</f>
        <v>0</v>
      </c>
      <c r="E49" s="21"/>
      <c r="F49" s="21">
        <f>F25-F48</f>
        <v>0</v>
      </c>
    </row>
    <row r="50" ht="15">
      <c r="A50" s="72"/>
    </row>
    <row r="51" spans="1:8" ht="15">
      <c r="A51" s="72" t="s">
        <v>108</v>
      </c>
      <c r="H51" s="19"/>
    </row>
  </sheetData>
  <sheetProtection/>
  <mergeCells count="7">
    <mergeCell ref="A1:F1"/>
    <mergeCell ref="A2:F2"/>
    <mergeCell ref="G26:G27"/>
    <mergeCell ref="B4:B5"/>
    <mergeCell ref="B26:B27"/>
    <mergeCell ref="C26:C27"/>
    <mergeCell ref="E26:E27"/>
  </mergeCells>
  <hyperlinks>
    <hyperlink ref="B9" r:id="rId1" display="_Property,_plant_and"/>
  </hyperlinks>
  <printOptions/>
  <pageMargins left="0.7" right="0.7" top="0.75" bottom="0.75" header="0.3" footer="0.3"/>
  <pageSetup horizontalDpi="600" verticalDpi="600" orientation="portrait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20" sqref="G20"/>
    </sheetView>
  </sheetViews>
  <sheetFormatPr defaultColWidth="9.140625" defaultRowHeight="15"/>
  <cols>
    <col min="1" max="1" width="48.57421875" style="0" customWidth="1"/>
    <col min="2" max="2" width="17.140625" style="5" customWidth="1"/>
    <col min="4" max="4" width="13.57421875" style="0" customWidth="1"/>
  </cols>
  <sheetData>
    <row r="1" spans="1:4" ht="15.75">
      <c r="A1" s="128" t="s">
        <v>90</v>
      </c>
      <c r="B1" s="128"/>
      <c r="C1" s="128"/>
      <c r="D1" s="128"/>
    </row>
    <row r="2" spans="1:4" ht="15.75">
      <c r="A2" s="129" t="s">
        <v>61</v>
      </c>
      <c r="B2" s="129"/>
      <c r="C2" s="129"/>
      <c r="D2" s="129"/>
    </row>
    <row r="3" spans="1:4" ht="15.75">
      <c r="A3" s="130"/>
      <c r="B3" s="132"/>
      <c r="C3" s="81"/>
      <c r="D3" s="81"/>
    </row>
    <row r="4" spans="1:4" ht="15">
      <c r="A4" s="130"/>
      <c r="B4" s="82">
        <v>44286</v>
      </c>
      <c r="C4" s="83"/>
      <c r="D4" s="82">
        <v>43921</v>
      </c>
    </row>
    <row r="5" spans="1:4" ht="15.75" thickBot="1">
      <c r="A5" s="64"/>
      <c r="B5" s="84" t="s">
        <v>0</v>
      </c>
      <c r="C5" s="20"/>
      <c r="D5" s="85" t="s">
        <v>0</v>
      </c>
    </row>
    <row r="6" spans="1:4" ht="15">
      <c r="A6" s="86" t="s">
        <v>62</v>
      </c>
      <c r="B6" s="87"/>
      <c r="C6" s="88"/>
      <c r="D6" s="89"/>
    </row>
    <row r="7" spans="1:4" ht="25.5">
      <c r="A7" s="64" t="s">
        <v>63</v>
      </c>
      <c r="B7" s="95">
        <v>3207221</v>
      </c>
      <c r="C7" s="88"/>
      <c r="D7" s="90">
        <v>1574363</v>
      </c>
    </row>
    <row r="8" spans="1:4" ht="15">
      <c r="A8" s="64" t="s">
        <v>64</v>
      </c>
      <c r="B8" s="1">
        <f>-872289-1</f>
        <v>-872290</v>
      </c>
      <c r="C8" s="88"/>
      <c r="D8" s="1">
        <f>-1233396-D10</f>
        <v>-1003680</v>
      </c>
    </row>
    <row r="9" spans="1:4" ht="15">
      <c r="A9" s="64" t="s">
        <v>65</v>
      </c>
      <c r="B9" s="1">
        <v>-104129</v>
      </c>
      <c r="C9" s="88"/>
      <c r="D9" s="1">
        <v>-87198</v>
      </c>
    </row>
    <row r="10" spans="1:4" ht="15">
      <c r="A10" s="64" t="s">
        <v>66</v>
      </c>
      <c r="B10" s="1">
        <f>-182500-712483-17176</f>
        <v>-912159</v>
      </c>
      <c r="C10" s="88"/>
      <c r="D10" s="1">
        <v>-229716</v>
      </c>
    </row>
    <row r="11" spans="1:4" ht="15.75" thickBot="1">
      <c r="A11" s="64" t="s">
        <v>67</v>
      </c>
      <c r="B11" s="100"/>
      <c r="C11" s="88"/>
      <c r="D11" s="91">
        <v>515</v>
      </c>
    </row>
    <row r="12" spans="1:4" ht="38.25">
      <c r="A12" s="92" t="s">
        <v>68</v>
      </c>
      <c r="B12" s="93">
        <f>SUM(B7:B11)</f>
        <v>1318643</v>
      </c>
      <c r="C12" s="94"/>
      <c r="D12" s="94">
        <f>SUM(D7:D11)</f>
        <v>254284</v>
      </c>
    </row>
    <row r="13" spans="1:4" ht="15">
      <c r="A13" s="64" t="s">
        <v>69</v>
      </c>
      <c r="B13" s="1">
        <v>-1555</v>
      </c>
      <c r="C13" s="88"/>
      <c r="D13" s="1">
        <v>-8721</v>
      </c>
    </row>
    <row r="14" spans="1:4" ht="15">
      <c r="A14" s="64" t="s">
        <v>70</v>
      </c>
      <c r="B14" s="95">
        <v>207217</v>
      </c>
      <c r="C14" s="88"/>
      <c r="D14" s="95">
        <v>170919</v>
      </c>
    </row>
    <row r="15" spans="1:4" ht="26.25" thickBot="1">
      <c r="A15" s="86" t="s">
        <v>71</v>
      </c>
      <c r="B15" s="22">
        <f>SUM(B12:B14)</f>
        <v>1524305</v>
      </c>
      <c r="C15" s="88"/>
      <c r="D15" s="22">
        <f>SUM(D12:D14)</f>
        <v>416482</v>
      </c>
    </row>
    <row r="16" spans="1:4" ht="15">
      <c r="A16" s="86"/>
      <c r="B16" s="93"/>
      <c r="C16" s="72"/>
      <c r="D16" s="83"/>
    </row>
    <row r="17" spans="1:4" ht="15">
      <c r="A17" s="86" t="s">
        <v>72</v>
      </c>
      <c r="B17" s="96"/>
      <c r="C17" s="72"/>
      <c r="D17" s="83"/>
    </row>
    <row r="18" spans="1:4" ht="15">
      <c r="A18" s="64" t="s">
        <v>73</v>
      </c>
      <c r="B18" s="1">
        <v>-164</v>
      </c>
      <c r="C18" s="88"/>
      <c r="D18" s="1">
        <v>-42471</v>
      </c>
    </row>
    <row r="19" spans="1:4" ht="15">
      <c r="A19" s="64" t="s">
        <v>74</v>
      </c>
      <c r="B19" s="1"/>
      <c r="C19" s="88"/>
      <c r="D19" s="1"/>
    </row>
    <row r="20" spans="1:4" ht="15">
      <c r="A20" s="64" t="s">
        <v>75</v>
      </c>
      <c r="B20" s="1"/>
      <c r="C20" s="88"/>
      <c r="D20" s="1"/>
    </row>
    <row r="21" spans="1:4" ht="15">
      <c r="A21" s="64" t="s">
        <v>76</v>
      </c>
      <c r="B21" s="1">
        <v>-8052752</v>
      </c>
      <c r="C21" s="88"/>
      <c r="D21" s="1">
        <v>-2639990</v>
      </c>
    </row>
    <row r="22" spans="1:4" ht="15.75" thickBot="1">
      <c r="A22" s="64" t="s">
        <v>77</v>
      </c>
      <c r="B22" s="100">
        <v>6013270</v>
      </c>
      <c r="C22" s="88"/>
      <c r="D22" s="91">
        <v>2007773</v>
      </c>
    </row>
    <row r="23" spans="1:4" ht="26.25" thickBot="1">
      <c r="A23" s="86" t="s">
        <v>78</v>
      </c>
      <c r="B23" s="22">
        <f>SUM(B18:B22)</f>
        <v>-2039646</v>
      </c>
      <c r="C23" s="72"/>
      <c r="D23" s="22">
        <f>SUM(D18:D22)</f>
        <v>-674688</v>
      </c>
    </row>
    <row r="24" spans="1:4" ht="15">
      <c r="A24" s="64"/>
      <c r="B24" s="87"/>
      <c r="C24" s="88"/>
      <c r="D24" s="89"/>
    </row>
    <row r="25" spans="1:4" ht="15">
      <c r="A25" s="86" t="s">
        <v>79</v>
      </c>
      <c r="B25" s="87"/>
      <c r="C25" s="88"/>
      <c r="D25" s="89"/>
    </row>
    <row r="26" spans="1:4" ht="15">
      <c r="A26" s="64" t="s">
        <v>80</v>
      </c>
      <c r="B26" s="87">
        <v>509889</v>
      </c>
      <c r="C26" s="88"/>
      <c r="D26" s="87">
        <v>421936</v>
      </c>
    </row>
    <row r="27" spans="1:4" ht="15">
      <c r="A27" s="64" t="s">
        <v>81</v>
      </c>
      <c r="B27" s="1">
        <v>-710000</v>
      </c>
      <c r="C27" s="88"/>
      <c r="D27" s="1">
        <v>-655000</v>
      </c>
    </row>
    <row r="28" spans="1:4" ht="15">
      <c r="A28" s="64" t="s">
        <v>82</v>
      </c>
      <c r="B28" s="1"/>
      <c r="C28" s="88"/>
      <c r="D28" s="1"/>
    </row>
    <row r="29" spans="1:4" ht="15">
      <c r="A29" s="64" t="s">
        <v>83</v>
      </c>
      <c r="B29" s="1"/>
      <c r="C29" s="88"/>
      <c r="D29" s="1"/>
    </row>
    <row r="30" spans="1:4" ht="15.75" thickBot="1">
      <c r="A30" s="64" t="s">
        <v>84</v>
      </c>
      <c r="B30" s="2">
        <v>34800</v>
      </c>
      <c r="C30" s="88"/>
      <c r="D30" s="2"/>
    </row>
    <row r="31" spans="1:4" ht="26.25" thickBot="1">
      <c r="A31" s="86" t="s">
        <v>85</v>
      </c>
      <c r="B31" s="22">
        <f>SUM(B26:B30)</f>
        <v>-165311</v>
      </c>
      <c r="C31" s="72"/>
      <c r="D31" s="22">
        <f>SUM(D26:D30)</f>
        <v>-233064</v>
      </c>
    </row>
    <row r="32" spans="1:4" ht="15">
      <c r="A32" s="86"/>
      <c r="B32" s="97"/>
      <c r="C32" s="125"/>
      <c r="D32" s="98"/>
    </row>
    <row r="33" spans="1:4" ht="25.5">
      <c r="A33" s="86" t="s">
        <v>86</v>
      </c>
      <c r="B33" s="99">
        <f>B15+B23+B31</f>
        <v>-680652</v>
      </c>
      <c r="C33" s="125"/>
      <c r="D33" s="99">
        <f>D15+D23+D31</f>
        <v>-491270</v>
      </c>
    </row>
    <row r="34" spans="1:4" ht="26.25" thickBot="1">
      <c r="A34" s="64" t="s">
        <v>87</v>
      </c>
      <c r="B34" s="100"/>
      <c r="C34" s="72"/>
      <c r="D34" s="2"/>
    </row>
    <row r="35" spans="1:4" ht="15.75" thickBot="1">
      <c r="A35" s="64" t="s">
        <v>88</v>
      </c>
      <c r="B35" s="100">
        <v>1369237</v>
      </c>
      <c r="C35" s="88"/>
      <c r="D35" s="100">
        <v>564927</v>
      </c>
    </row>
    <row r="36" spans="1:4" ht="15">
      <c r="A36" s="86" t="s">
        <v>89</v>
      </c>
      <c r="B36" s="126">
        <f>B33+B35+B34</f>
        <v>688585</v>
      </c>
      <c r="C36" s="125"/>
      <c r="D36" s="126">
        <f>D33+D35+D34</f>
        <v>73657</v>
      </c>
    </row>
    <row r="37" spans="1:4" ht="15.75" thickBot="1">
      <c r="A37" s="64"/>
      <c r="B37" s="127"/>
      <c r="C37" s="125"/>
      <c r="D37" s="127"/>
    </row>
    <row r="38" ht="15.75" thickTop="1"/>
  </sheetData>
  <sheetProtection/>
  <mergeCells count="7">
    <mergeCell ref="C36:C37"/>
    <mergeCell ref="D36:D37"/>
    <mergeCell ref="A1:D1"/>
    <mergeCell ref="A2:D2"/>
    <mergeCell ref="A3:A4"/>
    <mergeCell ref="C32:C33"/>
    <mergeCell ref="B36:B3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26.8515625" style="41" customWidth="1"/>
    <col min="2" max="3" width="9.140625" style="41" customWidth="1"/>
    <col min="4" max="4" width="11.140625" style="41" customWidth="1"/>
    <col min="5" max="5" width="9.140625" style="41" customWidth="1"/>
    <col min="6" max="6" width="14.421875" style="41" customWidth="1"/>
    <col min="7" max="7" width="9.140625" style="41" customWidth="1"/>
    <col min="8" max="8" width="12.7109375" style="41" customWidth="1"/>
    <col min="9" max="9" width="9.140625" style="41" customWidth="1"/>
    <col min="10" max="10" width="11.8515625" style="41" customWidth="1"/>
    <col min="11" max="16384" width="9.140625" style="41" customWidth="1"/>
  </cols>
  <sheetData>
    <row r="1" spans="1:10" ht="15">
      <c r="A1" s="131" t="s">
        <v>107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>
      <c r="A2" s="131" t="s">
        <v>93</v>
      </c>
      <c r="B2" s="131"/>
      <c r="C2" s="131"/>
      <c r="D2" s="131"/>
      <c r="E2" s="131"/>
      <c r="F2" s="131"/>
      <c r="G2" s="131"/>
      <c r="H2" s="131"/>
      <c r="I2" s="131"/>
      <c r="J2" s="131"/>
    </row>
    <row r="4" spans="1:10" ht="39" thickBot="1">
      <c r="A4" s="101" t="s">
        <v>94</v>
      </c>
      <c r="B4" s="102" t="s">
        <v>95</v>
      </c>
      <c r="C4" s="103"/>
      <c r="D4" s="102" t="s">
        <v>13</v>
      </c>
      <c r="E4" s="103"/>
      <c r="F4" s="102" t="s">
        <v>10</v>
      </c>
      <c r="G4" s="103"/>
      <c r="H4" s="102" t="s">
        <v>96</v>
      </c>
      <c r="I4" s="103"/>
      <c r="J4" s="102" t="s">
        <v>97</v>
      </c>
    </row>
    <row r="5" spans="1:10" ht="15">
      <c r="A5" s="86" t="s">
        <v>98</v>
      </c>
      <c r="B5" s="104">
        <v>300000</v>
      </c>
      <c r="C5" s="105"/>
      <c r="D5" s="104">
        <v>7895252</v>
      </c>
      <c r="E5" s="104"/>
      <c r="F5" s="104">
        <v>182606</v>
      </c>
      <c r="G5" s="105"/>
      <c r="H5" s="104">
        <v>1033346</v>
      </c>
      <c r="I5" s="105"/>
      <c r="J5" s="4">
        <f>SUM(B5:I5)</f>
        <v>9411204</v>
      </c>
    </row>
    <row r="6" spans="1:10" ht="25.5">
      <c r="A6" s="64" t="s">
        <v>99</v>
      </c>
      <c r="B6" s="106" t="s">
        <v>100</v>
      </c>
      <c r="C6" s="106"/>
      <c r="D6" s="106" t="s">
        <v>100</v>
      </c>
      <c r="E6" s="106"/>
      <c r="F6" s="106" t="s">
        <v>100</v>
      </c>
      <c r="G6" s="106"/>
      <c r="H6" s="9">
        <v>1713981</v>
      </c>
      <c r="I6" s="3"/>
      <c r="J6" s="1">
        <f>SUM(B6:I6)</f>
        <v>1713981</v>
      </c>
    </row>
    <row r="7" spans="1:10" ht="15">
      <c r="A7" s="64" t="s">
        <v>101</v>
      </c>
      <c r="B7" s="106"/>
      <c r="C7" s="106"/>
      <c r="D7" s="106"/>
      <c r="E7" s="106"/>
      <c r="F7" s="106"/>
      <c r="G7" s="106"/>
      <c r="H7" s="1">
        <v>-1015477</v>
      </c>
      <c r="I7" s="3"/>
      <c r="J7" s="1">
        <f>SUM(B7:I7)</f>
        <v>-1015477</v>
      </c>
    </row>
    <row r="8" spans="1:10" ht="25.5">
      <c r="A8" s="64" t="s">
        <v>102</v>
      </c>
      <c r="B8" s="107" t="s">
        <v>100</v>
      </c>
      <c r="C8" s="106"/>
      <c r="D8" s="108">
        <v>1496742</v>
      </c>
      <c r="E8" s="106"/>
      <c r="F8" s="107" t="s">
        <v>100</v>
      </c>
      <c r="G8" s="107"/>
      <c r="H8" s="1">
        <v>-1496742</v>
      </c>
      <c r="I8" s="107"/>
      <c r="J8" s="1">
        <f>SUM(B8:I8)</f>
        <v>0</v>
      </c>
    </row>
    <row r="9" spans="1:10" ht="15.75" thickBot="1">
      <c r="A9" s="86" t="s">
        <v>103</v>
      </c>
      <c r="B9" s="109">
        <f>SUM(B5:B8)</f>
        <v>300000</v>
      </c>
      <c r="C9" s="3"/>
      <c r="D9" s="109">
        <f>SUM(D5:D8)</f>
        <v>9391994</v>
      </c>
      <c r="E9" s="109"/>
      <c r="F9" s="109">
        <f>SUM(F5:F8)</f>
        <v>182606</v>
      </c>
      <c r="G9" s="109"/>
      <c r="H9" s="109">
        <f>SUM(H5:H8)</f>
        <v>235108</v>
      </c>
      <c r="I9" s="109"/>
      <c r="J9" s="109">
        <f>SUM(J5:J8)</f>
        <v>10109708</v>
      </c>
    </row>
    <row r="10" spans="1:10" ht="15.75" thickTop="1">
      <c r="A10" s="64"/>
      <c r="B10" s="3"/>
      <c r="C10" s="3"/>
      <c r="D10" s="3"/>
      <c r="E10" s="3"/>
      <c r="F10" s="3"/>
      <c r="G10" s="3"/>
      <c r="H10" s="3"/>
      <c r="I10" s="3"/>
      <c r="J10" s="3"/>
    </row>
    <row r="11" spans="1:10" s="110" customFormat="1" ht="15">
      <c r="A11" s="86" t="s">
        <v>104</v>
      </c>
      <c r="B11" s="104">
        <v>300000</v>
      </c>
      <c r="C11" s="105"/>
      <c r="D11" s="104">
        <f>D9</f>
        <v>9391994</v>
      </c>
      <c r="E11" s="104"/>
      <c r="F11" s="104">
        <f>F9</f>
        <v>182606</v>
      </c>
      <c r="G11" s="104"/>
      <c r="H11" s="104">
        <f>H9</f>
        <v>235108</v>
      </c>
      <c r="I11" s="105"/>
      <c r="J11" s="4">
        <f>SUM(B11:I11)</f>
        <v>10109708</v>
      </c>
    </row>
    <row r="12" spans="1:10" ht="25.5">
      <c r="A12" s="64" t="s">
        <v>49</v>
      </c>
      <c r="B12" s="3" t="s">
        <v>100</v>
      </c>
      <c r="C12" s="3"/>
      <c r="D12" s="3" t="s">
        <v>100</v>
      </c>
      <c r="E12" s="3"/>
      <c r="F12" s="3" t="s">
        <v>100</v>
      </c>
      <c r="G12" s="3"/>
      <c r="H12" s="1">
        <f>'[1]ОПиУ'!I17</f>
        <v>627732</v>
      </c>
      <c r="I12" s="3"/>
      <c r="J12" s="1">
        <f>SUM(B12:I12)</f>
        <v>627732</v>
      </c>
    </row>
    <row r="13" spans="1:10" ht="15">
      <c r="A13" s="64" t="s">
        <v>105</v>
      </c>
      <c r="B13" s="111"/>
      <c r="C13" s="111"/>
      <c r="D13" s="112"/>
      <c r="E13" s="111"/>
      <c r="F13" s="111"/>
      <c r="G13" s="111"/>
      <c r="H13" s="1"/>
      <c r="I13" s="111"/>
      <c r="J13" s="1">
        <f>SUM(B13:I13)</f>
        <v>0</v>
      </c>
    </row>
    <row r="14" spans="1:10" ht="15.75" thickBot="1">
      <c r="A14" s="86" t="s">
        <v>106</v>
      </c>
      <c r="B14" s="113">
        <f>SUM(B11:B13)</f>
        <v>300000</v>
      </c>
      <c r="C14" s="3"/>
      <c r="D14" s="109">
        <f>SUM(D11:D13)</f>
        <v>9391994</v>
      </c>
      <c r="E14" s="114"/>
      <c r="F14" s="109">
        <f>SUM(F11:F13)</f>
        <v>182606</v>
      </c>
      <c r="G14" s="114"/>
      <c r="H14" s="113">
        <f>SUM(H11:H13)</f>
        <v>862840</v>
      </c>
      <c r="I14" s="114"/>
      <c r="J14" s="109">
        <f>SUM(J11:J13)</f>
        <v>10737440</v>
      </c>
    </row>
    <row r="15" ht="15.75" thickTop="1"/>
    <row r="17" ht="15">
      <c r="D17" s="115"/>
    </row>
    <row r="20" ht="15">
      <c r="E20" s="1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2021-02-04T10:32:22Z</cp:lastPrinted>
  <dcterms:created xsi:type="dcterms:W3CDTF">2010-04-07T05:06:39Z</dcterms:created>
  <dcterms:modified xsi:type="dcterms:W3CDTF">2021-05-14T11:36:07Z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