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20" windowWidth="15135" windowHeight="4605" activeTab="2"/>
  </bookViews>
  <sheets>
    <sheet name="ОПУ" sheetId="1" r:id="rId1"/>
    <sheet name="Баланс" sheetId="2" r:id="rId2"/>
    <sheet name="ДДС" sheetId="3" r:id="rId3"/>
    <sheet name="Капитал" sheetId="4" r:id="rId4"/>
  </sheets>
  <definedNames>
    <definedName name="_Hlk222634923" localSheetId="1">'Баланс'!$A$42</definedName>
    <definedName name="_Hlk239143240" localSheetId="1">'Баланс'!$A$4</definedName>
    <definedName name="_xlnm.Print_Area" localSheetId="1">'Баланс'!$A$1:$F$52</definedName>
    <definedName name="_xlnm.Print_Area" localSheetId="2">'ДДС'!$A$3:$D$42</definedName>
    <definedName name="_xlnm.Print_Area" localSheetId="0">'ОПУ'!$A$1:$E$29</definedName>
  </definedNames>
  <calcPr fullCalcOnLoad="1"/>
</workbook>
</file>

<file path=xl/sharedStrings.xml><?xml version="1.0" encoding="utf-8"?>
<sst xmlns="http://schemas.openxmlformats.org/spreadsheetml/2006/main" count="144" uniqueCount="121">
  <si>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</si>
  <si>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</si>
  <si>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</si>
  <si>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</si>
  <si>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</si>
  <si>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</si>
  <si>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</si>
  <si>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</si>
  <si>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</si>
  <si>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</si>
  <si>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Дополнительно оплаченный капитал</t>
  </si>
  <si>
    <t>Итого долгосрочных активов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</si>
  <si>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</si>
  <si>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</si>
  <si>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</si>
  <si>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</si>
  <si>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</si>
  <si>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</si>
  <si>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</si>
  <si>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</si>
  <si>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</si>
  <si>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</si>
  <si>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</si>
  <si>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</si>
  <si>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</si>
  <si>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</si>
  <si>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</si>
  <si>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</si>
  <si>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</si>
  <si>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</si>
  <si>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</si>
  <si>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</si>
  <si>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</si>
  <si>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</si>
  <si>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</si>
  <si>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</si>
  <si>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>Финансовые доходы</t>
  </si>
  <si>
    <t>Финансовые расходы</t>
  </si>
  <si>
    <t>Чистые финансовые расходы</t>
  </si>
  <si>
    <t>Приме-чание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</si>
  <si>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</si>
  <si>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</si>
  <si>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</si>
  <si>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</si>
  <si>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</si>
  <si>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</si>
  <si>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на акцию</t>
  </si>
  <si>
    <t>Базовая прибыль на акцию (тенге)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</si>
  <si>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</si>
  <si>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</si>
  <si>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t xml:space="preserve">                                                                                                                               (подпись)</t>
  </si>
  <si>
    <t>Главный бухгалтер                            Бабибаева С.С.                           _____________________</t>
  </si>
  <si>
    <t>Место печати</t>
  </si>
  <si>
    <t>Активы по договорам</t>
  </si>
  <si>
    <t>Убыток от обесценения основных средств и нематериальных активов</t>
  </si>
  <si>
    <t xml:space="preserve"> 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</si>
  <si>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</si>
  <si>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</si>
  <si>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поставщикам</t>
  </si>
  <si>
    <t>Денежные средства, уплаченные работникам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</si>
  <si>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</si>
  <si>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</si>
  <si>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</si>
  <si>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</si>
  <si>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</si>
  <si>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</si>
  <si>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</si>
  <si>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 xml:space="preserve">Предоставление займов 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</si>
  <si>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</si>
  <si>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</si>
  <si>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</si>
  <si>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</si>
  <si>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Получение заемных средств</t>
  </si>
  <si>
    <t>Погашение заемных средств</t>
  </si>
  <si>
    <t>Выплата дивидендов</t>
  </si>
  <si>
    <t>Прочие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</si>
  <si>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</si>
  <si>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</si>
  <si>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</si>
  <si>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</si>
  <si>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</si>
  <si>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Консолидированный отчет о движении денежных средств АО "Батыс т ранзит"</t>
  </si>
  <si>
    <t>Консолидированный отчет о финансовом положении АО "Батыс транзит"</t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</si>
  <si>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</si>
  <si>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</si>
  <si>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</si>
  <si>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</si>
  <si>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Прибыль и общий совокупный доход за год</t>
  </si>
  <si>
    <t>-</t>
  </si>
  <si>
    <t>Дивиденды акционерам</t>
  </si>
  <si>
    <t>Перевод в прочие резервы (Примечание 16)</t>
  </si>
  <si>
    <t>Остаток на 1 января 2021г.</t>
  </si>
  <si>
    <t xml:space="preserve">Дивиденды объявленные  </t>
  </si>
  <si>
    <t>Консолидированный отчет об изменениях в собственном капитале  АО "Батыс транзит"</t>
  </si>
  <si>
    <t>Председатель Правления                 Маутканов Д.А.                        _____________________</t>
  </si>
  <si>
    <t>Председатель Правления                  Маутканов Д.А.                         _____________________</t>
  </si>
  <si>
    <t>Остаток на 31 декабря 2021г.</t>
  </si>
  <si>
    <t>Долгосрочная задолженность по аренде</t>
  </si>
  <si>
    <t>Краткосрочная задолженность по аренде</t>
  </si>
  <si>
    <t>Покупка и продажа ценных бумаг</t>
  </si>
  <si>
    <t>Консолидированный отчет о  прибыли и убытке  и прочем совокупном  доходе за период, закончившийся "31" марта 2022 года</t>
  </si>
  <si>
    <t>по состоянию  на "31" марта 2022 года</t>
  </si>
  <si>
    <t>за период, закончившийся  "31" марта 2022 года</t>
  </si>
  <si>
    <t>за период, закончившийся "31" марта 2022 года</t>
  </si>
  <si>
    <t>Остаток на 1 января 2022г.</t>
  </si>
  <si>
    <t>Остаток на 31 марта 2022г.</t>
  </si>
  <si>
    <t>Денежные средства ограниченные в использовании</t>
  </si>
  <si>
    <t>Прочие краткосрочные активы</t>
  </si>
  <si>
    <t>Задолженность по облигациям</t>
  </si>
  <si>
    <t>Авансы полученные</t>
  </si>
  <si>
    <t>Налоги и прочие платежи в бюджет</t>
  </si>
  <si>
    <t>Оплата КПН</t>
  </si>
  <si>
    <t>31.03.2022 г.</t>
  </si>
  <si>
    <t>31.03.2021г.</t>
  </si>
  <si>
    <t>Другие платежи в бюджет</t>
  </si>
  <si>
    <t>Прочие поступления/выбытия</t>
  </si>
  <si>
    <t>Продажа основных средств</t>
  </si>
  <si>
    <t xml:space="preserve">приобретение ценных бумаг по договорам РЕПО        </t>
  </si>
  <si>
    <t xml:space="preserve">Продажа ценных бумаг по договорам РЕПО        </t>
  </si>
  <si>
    <t>Размещение денежных средств в качестве обеспечения</t>
  </si>
  <si>
    <t>Балансовая стоимость  1 простой акции  на 31 марта 2022г.  154,884 тыс.тенге.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</si>
</sst>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\-0.00"/>
    <numFmt numFmtId="181" formatCode="0;[Red]\-0"/>
    <numFmt numFmtId="182" formatCode="0.0;[Red]\-0.0"/>
    <numFmt numFmtId="183" formatCode="_-* #,##0.0_р_._-;\-* #,##0.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_-* #,##0.00&quot;р.&quot;_-;\(* #,##0.00&quot;р.&quot;_-\);_-* &quot;-&quot;??&quot;р.&quot;_-;_-@_-"/>
    <numFmt numFmtId="191" formatCode="_-* #,##0.00&quot;р.&quot;_-;\(\ #,##0.00_-\);_-* &quot;-&quot;??&quot;р.&quot;_-;_-@_-"/>
    <numFmt numFmtId="192" formatCode="_-* #,##0.0&quot;р.&quot;_-;\(\ #,##0.0_-\);_-* &quot;-&quot;??&quot;р.&quot;_-;_-@_-"/>
    <numFmt numFmtId="193" formatCode="_-* #,##0&quot;р.&quot;_-;\(\ #,##0_-\);_-* &quot;-&quot;??&quot;р.&quot;_-;_-@_-"/>
    <numFmt numFmtId="194" formatCode="_-* #,##0_-;\(\ #,##0_-\);_-* &quot;-&quot;??_-;_-@_-"/>
    <numFmt numFmtId="195" formatCode="#,##0.00_ ;[Red]\-#,##0.00\ "/>
    <numFmt numFmtId="196" formatCode="0.00_ ;[Red]\-0.00\ "/>
    <numFmt numFmtId="197" formatCode="#,##0.000_ ;[Red]\-#,##0.000\ "/>
    <numFmt numFmtId="198" formatCode="#,##0.00;[Red]\-#,##0.00"/>
    <numFmt numFmtId="199" formatCode="dd/mm/yy;@"/>
    <numFmt numFmtId="200" formatCode="0.000"/>
    <numFmt numFmtId="201" formatCode="#,##0.000"/>
    <numFmt numFmtId="202" formatCode="0.0%"/>
    <numFmt numFmtId="203" formatCode="#,##0_ ;[Red]\-#,##0\ "/>
    <numFmt numFmtId="204" formatCode="0.0000"/>
    <numFmt numFmtId="205" formatCode="0.0000000"/>
    <numFmt numFmtId="206" formatCode="0.000000"/>
    <numFmt numFmtId="207" formatCode="_(* #,##0_);_(* \(#,##0\);_(* &quot;-&quot;??_);_(@_)"/>
    <numFmt numFmtId="208" formatCode="_(* #,##0.0_);_(* \(#,##0.0\);_(* &quot;-&quot;??_);_(@_)"/>
    <numFmt numFmtId="209" formatCode="_(* #,##0.00_);_(* \(#,##0.00\);_(* &quot;-&quot;??_);_(@_)"/>
    <numFmt numFmtId="210" formatCode="#,##0_);\(#,##0\);\-_);@"/>
    <numFmt numFmtId="211" formatCode="_ * #,##0_)_р_._ ;_ * \(#,##0\)_р_._ ;_ * &quot;-&quot;??_)_р_._ ;_ @_ "/>
    <numFmt numFmtId="212" formatCode="_-* #,##0.000_р_._-;\-* #,##0.000_р_._-;_-* &quot;-&quot;??_р_._-;_-@_-"/>
    <numFmt numFmtId="213" formatCode="_-* #,##0_р_._-;\-* #,##0_р_._-;_-* &quot;-&quot;??_р_._-;_-@_-"/>
    <numFmt numFmtId="214" formatCode="_-* #,##0.00_-;\-* #,##0.00_-;_-* &quot;-&quot;??_-;_-@_-"/>
    <numFmt numFmtId="215" formatCode="mmm/yyyy"/>
    <numFmt numFmtId="216" formatCode="_-* #,##0.0\ _р_._-;\-* #,##0.0\ _р_._-;_-* &quot;-&quot;?\ _р_._-;_-@_-"/>
    <numFmt numFmtId="217" formatCode="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left"/>
      <protection/>
    </xf>
    <xf numFmtId="0" fontId="2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194" fontId="4" fillId="33" borderId="0" xfId="58" applyNumberFormat="1" applyFont="1" applyFill="1" applyBorder="1" applyAlignment="1">
      <alignment horizontal="right" vertical="center" wrapText="1"/>
      <protection/>
    </xf>
    <xf numFmtId="194" fontId="4" fillId="33" borderId="10" xfId="58" applyNumberFormat="1" applyFont="1" applyFill="1" applyBorder="1" applyAlignment="1">
      <alignment horizontal="right" vertical="center" wrapText="1"/>
      <protection/>
    </xf>
    <xf numFmtId="0" fontId="51" fillId="0" borderId="0" xfId="0" applyFont="1" applyAlignment="1">
      <alignment horizontal="right" vertical="center" wrapText="1"/>
    </xf>
    <xf numFmtId="194" fontId="5" fillId="33" borderId="0" xfId="58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200" fontId="52" fillId="33" borderId="0" xfId="0" applyNumberFormat="1" applyFont="1" applyFill="1" applyAlignment="1">
      <alignment horizontal="center" vertical="center" wrapText="1"/>
    </xf>
    <xf numFmtId="200" fontId="52" fillId="33" borderId="10" xfId="0" applyNumberFormat="1" applyFont="1" applyFill="1" applyBorder="1" applyAlignment="1">
      <alignment horizontal="center" vertical="center" wrapText="1"/>
    </xf>
    <xf numFmtId="200" fontId="51" fillId="33" borderId="0" xfId="0" applyNumberFormat="1" applyFont="1" applyFill="1" applyAlignment="1">
      <alignment vertical="center" wrapText="1"/>
    </xf>
    <xf numFmtId="3" fontId="51" fillId="33" borderId="0" xfId="0" applyNumberFormat="1" applyFont="1" applyFill="1" applyAlignment="1">
      <alignment horizontal="right" vertical="center" wrapText="1"/>
    </xf>
    <xf numFmtId="0" fontId="6" fillId="33" borderId="0" xfId="46" applyFont="1" applyFill="1" applyAlignment="1" applyProtection="1">
      <alignment horizontal="center" vertical="center" wrapText="1"/>
      <protection/>
    </xf>
    <xf numFmtId="3" fontId="52" fillId="33" borderId="11" xfId="0" applyNumberFormat="1" applyFont="1" applyFill="1" applyBorder="1" applyAlignment="1">
      <alignment horizontal="right" vertical="center" wrapText="1"/>
    </xf>
    <xf numFmtId="3" fontId="52" fillId="33" borderId="12" xfId="0" applyNumberFormat="1" applyFont="1" applyFill="1" applyBorder="1" applyAlignment="1">
      <alignment horizontal="right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 wrapText="1"/>
    </xf>
    <xf numFmtId="200" fontId="51" fillId="33" borderId="0" xfId="0" applyNumberFormat="1" applyFont="1" applyFill="1" applyAlignment="1">
      <alignment horizontal="right" vertical="center" wrapText="1"/>
    </xf>
    <xf numFmtId="200" fontId="53" fillId="33" borderId="0" xfId="0" applyNumberFormat="1" applyFont="1" applyFill="1" applyAlignment="1">
      <alignment vertical="center" wrapText="1"/>
    </xf>
    <xf numFmtId="3" fontId="52" fillId="33" borderId="13" xfId="0" applyNumberFormat="1" applyFont="1" applyFill="1" applyBorder="1" applyAlignment="1">
      <alignment horizontal="right" vertical="center" wrapText="1"/>
    </xf>
    <xf numFmtId="200" fontId="0" fillId="33" borderId="0" xfId="0" applyNumberFormat="1" applyFill="1" applyAlignment="1">
      <alignment horizontal="right"/>
    </xf>
    <xf numFmtId="200" fontId="0" fillId="33" borderId="0" xfId="0" applyNumberFormat="1" applyFill="1" applyAlignment="1">
      <alignment/>
    </xf>
    <xf numFmtId="0" fontId="52" fillId="33" borderId="0" xfId="0" applyFont="1" applyFill="1" applyAlignment="1">
      <alignment horizontal="center" vertical="center"/>
    </xf>
    <xf numFmtId="194" fontId="5" fillId="33" borderId="10" xfId="58" applyNumberFormat="1" applyFont="1" applyFill="1" applyBorder="1" applyAlignment="1">
      <alignment horizontal="right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vertical="top"/>
    </xf>
    <xf numFmtId="4" fontId="4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4" fontId="0" fillId="33" borderId="0" xfId="0" applyNumberFormat="1" applyFill="1" applyBorder="1" applyAlignment="1">
      <alignment vertical="center"/>
    </xf>
    <xf numFmtId="4" fontId="41" fillId="33" borderId="0" xfId="0" applyNumberFormat="1" applyFont="1" applyFill="1" applyBorder="1" applyAlignment="1">
      <alignment vertical="center"/>
    </xf>
    <xf numFmtId="0" fontId="53" fillId="0" borderId="0" xfId="0" applyFont="1" applyAlignment="1">
      <alignment vertical="center" wrapText="1"/>
    </xf>
    <xf numFmtId="3" fontId="54" fillId="33" borderId="14" xfId="0" applyNumberFormat="1" applyFont="1" applyFill="1" applyBorder="1" applyAlignment="1">
      <alignment vertical="center" wrapText="1"/>
    </xf>
    <xf numFmtId="194" fontId="5" fillId="33" borderId="11" xfId="58" applyNumberFormat="1" applyFont="1" applyFill="1" applyBorder="1" applyAlignment="1">
      <alignment horizontal="right" vertical="center" wrapText="1"/>
      <protection/>
    </xf>
    <xf numFmtId="194" fontId="5" fillId="33" borderId="15" xfId="58" applyNumberFormat="1" applyFont="1" applyFill="1" applyBorder="1" applyAlignment="1">
      <alignment horizontal="right" vertical="center" wrapText="1"/>
      <protection/>
    </xf>
    <xf numFmtId="194" fontId="5" fillId="33" borderId="16" xfId="58" applyNumberFormat="1" applyFont="1" applyFill="1" applyBorder="1" applyAlignment="1">
      <alignment horizontal="right" vertical="center" wrapText="1"/>
      <protection/>
    </xf>
    <xf numFmtId="4" fontId="9" fillId="33" borderId="17" xfId="60" applyNumberFormat="1" applyFont="1" applyFill="1" applyBorder="1" applyAlignment="1">
      <alignment horizontal="right" vertical="top" wrapText="1"/>
      <protection/>
    </xf>
    <xf numFmtId="213" fontId="0" fillId="33" borderId="0" xfId="68" applyNumberFormat="1" applyFont="1" applyFill="1" applyAlignment="1">
      <alignment/>
    </xf>
    <xf numFmtId="3" fontId="51" fillId="33" borderId="0" xfId="0" applyNumberFormat="1" applyFont="1" applyFill="1" applyAlignment="1">
      <alignment vertical="center" wrapText="1"/>
    </xf>
    <xf numFmtId="0" fontId="0" fillId="0" borderId="0" xfId="0" applyAlignment="1">
      <alignment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194" fontId="0" fillId="33" borderId="0" xfId="0" applyNumberFormat="1" applyFill="1" applyBorder="1" applyAlignment="1">
      <alignment vertical="center"/>
    </xf>
    <xf numFmtId="9" fontId="0" fillId="0" borderId="0" xfId="65" applyFont="1" applyAlignment="1">
      <alignment/>
    </xf>
    <xf numFmtId="200" fontId="52" fillId="33" borderId="18" xfId="0" applyNumberFormat="1" applyFont="1" applyFill="1" applyBorder="1" applyAlignment="1">
      <alignment vertical="center" wrapText="1"/>
    </xf>
    <xf numFmtId="3" fontId="51" fillId="33" borderId="0" xfId="0" applyNumberFormat="1" applyFont="1" applyFill="1" applyBorder="1" applyAlignment="1">
      <alignment horizontal="right" vertical="center"/>
    </xf>
    <xf numFmtId="0" fontId="52" fillId="33" borderId="0" xfId="0" applyFont="1" applyFill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4" fontId="8" fillId="33" borderId="0" xfId="60" applyNumberFormat="1" applyFont="1" applyFill="1" applyBorder="1" applyAlignment="1">
      <alignment horizontal="right" vertical="top" wrapText="1"/>
      <protection/>
    </xf>
    <xf numFmtId="0" fontId="8" fillId="33" borderId="0" xfId="60" applyNumberFormat="1" applyFont="1" applyFill="1" applyBorder="1" applyAlignment="1">
      <alignment vertical="top" wrapText="1"/>
      <protection/>
    </xf>
    <xf numFmtId="0" fontId="0" fillId="33" borderId="0" xfId="0" applyFill="1" applyBorder="1" applyAlignment="1">
      <alignment horizontal="center" vertical="center"/>
    </xf>
    <xf numFmtId="0" fontId="9" fillId="33" borderId="0" xfId="60" applyNumberFormat="1" applyFont="1" applyFill="1" applyBorder="1" applyAlignment="1">
      <alignment vertical="top" wrapText="1"/>
      <protection/>
    </xf>
    <xf numFmtId="4" fontId="9" fillId="33" borderId="0" xfId="60" applyNumberFormat="1" applyFont="1" applyFill="1" applyBorder="1" applyAlignment="1">
      <alignment horizontal="right" vertical="center" wrapText="1"/>
      <protection/>
    </xf>
    <xf numFmtId="4" fontId="9" fillId="33" borderId="0" xfId="60" applyNumberFormat="1" applyFont="1" applyFill="1" applyBorder="1" applyAlignment="1">
      <alignment horizontal="right" vertical="top" wrapText="1"/>
      <protection/>
    </xf>
    <xf numFmtId="4" fontId="9" fillId="33" borderId="0" xfId="60" applyNumberFormat="1" applyFont="1" applyFill="1" applyBorder="1" applyAlignment="1">
      <alignment vertical="center" wrapText="1"/>
      <protection/>
    </xf>
    <xf numFmtId="0" fontId="9" fillId="33" borderId="0" xfId="60" applyNumberFormat="1" applyFont="1" applyFill="1" applyBorder="1" applyAlignment="1">
      <alignment vertical="center" wrapText="1"/>
      <protection/>
    </xf>
    <xf numFmtId="4" fontId="8" fillId="33" borderId="0" xfId="60" applyNumberFormat="1" applyFont="1" applyFill="1" applyBorder="1" applyAlignment="1">
      <alignment horizontal="right" vertical="top" wrapText="1"/>
      <protection/>
    </xf>
    <xf numFmtId="4" fontId="2" fillId="33" borderId="0" xfId="60" applyNumberFormat="1" applyFont="1" applyFill="1" applyBorder="1" applyAlignment="1">
      <alignment horizontal="right" vertical="top" wrapText="1"/>
      <protection/>
    </xf>
    <xf numFmtId="200" fontId="52" fillId="33" borderId="0" xfId="0" applyNumberFormat="1" applyFont="1" applyFill="1" applyAlignment="1">
      <alignment horizontal="right" vertical="center" wrapText="1"/>
    </xf>
    <xf numFmtId="3" fontId="0" fillId="33" borderId="0" xfId="0" applyNumberFormat="1" applyFill="1" applyAlignment="1">
      <alignment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horizontal="right" vertical="center" wrapText="1"/>
    </xf>
    <xf numFmtId="0" fontId="5" fillId="33" borderId="0" xfId="58" applyFont="1" applyFill="1" applyAlignment="1">
      <alignment horizontal="center"/>
      <protection/>
    </xf>
    <xf numFmtId="0" fontId="52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200" fontId="52" fillId="33" borderId="0" xfId="0" applyNumberFormat="1" applyFont="1" applyFill="1" applyAlignment="1">
      <alignment vertical="center" wrapText="1"/>
    </xf>
    <xf numFmtId="0" fontId="52" fillId="33" borderId="0" xfId="0" applyFont="1" applyFill="1" applyAlignment="1">
      <alignment vertical="center"/>
    </xf>
    <xf numFmtId="3" fontId="54" fillId="33" borderId="0" xfId="0" applyNumberFormat="1" applyFont="1" applyFill="1" applyAlignment="1">
      <alignment vertical="center" wrapText="1"/>
    </xf>
    <xf numFmtId="9" fontId="0" fillId="33" borderId="0" xfId="65" applyFont="1" applyFill="1" applyAlignment="1">
      <alignment/>
    </xf>
    <xf numFmtId="0" fontId="55" fillId="33" borderId="0" xfId="0" applyFont="1" applyFill="1" applyAlignment="1">
      <alignment vertical="center" wrapText="1"/>
    </xf>
    <xf numFmtId="0" fontId="56" fillId="33" borderId="0" xfId="0" applyFont="1" applyFill="1" applyAlignment="1">
      <alignment vertical="center" wrapText="1"/>
    </xf>
    <xf numFmtId="0" fontId="57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right" vertical="center"/>
    </xf>
    <xf numFmtId="0" fontId="52" fillId="0" borderId="0" xfId="0" applyFont="1" applyAlignment="1">
      <alignment vertical="center" wrapText="1"/>
    </xf>
    <xf numFmtId="3" fontId="4" fillId="33" borderId="0" xfId="0" applyNumberFormat="1" applyFont="1" applyFill="1" applyAlignment="1">
      <alignment horizontal="right"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4" fillId="0" borderId="0" xfId="0" applyFont="1" applyAlignment="1">
      <alignment vertical="center" wrapText="1"/>
    </xf>
    <xf numFmtId="3" fontId="5" fillId="33" borderId="0" xfId="0" applyNumberFormat="1" applyFont="1" applyFill="1" applyAlignment="1">
      <alignment horizontal="right" vertical="center"/>
    </xf>
    <xf numFmtId="3" fontId="52" fillId="33" borderId="0" xfId="0" applyNumberFormat="1" applyFont="1" applyFill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right"/>
    </xf>
    <xf numFmtId="194" fontId="5" fillId="33" borderId="19" xfId="58" applyNumberFormat="1" applyFont="1" applyFill="1" applyBorder="1" applyAlignment="1">
      <alignment vertical="center" wrapText="1"/>
      <protection/>
    </xf>
    <xf numFmtId="194" fontId="5" fillId="33" borderId="0" xfId="58" applyNumberFormat="1" applyFont="1" applyFill="1" applyBorder="1" applyAlignment="1">
      <alignment vertical="center" wrapText="1"/>
      <protection/>
    </xf>
    <xf numFmtId="3" fontId="4" fillId="33" borderId="1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3" fontId="52" fillId="0" borderId="0" xfId="0" applyNumberFormat="1" applyFont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51" fillId="33" borderId="0" xfId="0" applyFont="1" applyFill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3" fontId="51" fillId="33" borderId="0" xfId="0" applyNumberFormat="1" applyFont="1" applyFill="1" applyBorder="1" applyAlignment="1">
      <alignment horizontal="right" vertical="center" wrapText="1"/>
    </xf>
    <xf numFmtId="3" fontId="52" fillId="0" borderId="12" xfId="0" applyNumberFormat="1" applyFont="1" applyBorder="1" applyAlignment="1">
      <alignment horizontal="right" vertical="center" wrapText="1"/>
    </xf>
    <xf numFmtId="0" fontId="41" fillId="0" borderId="0" xfId="0" applyFont="1" applyAlignment="1">
      <alignment/>
    </xf>
    <xf numFmtId="0" fontId="51" fillId="0" borderId="0" xfId="0" applyFont="1" applyBorder="1" applyAlignment="1">
      <alignment horizontal="right" vertical="center" wrapText="1"/>
    </xf>
    <xf numFmtId="194" fontId="51" fillId="0" borderId="0" xfId="0" applyNumberFormat="1" applyFont="1" applyBorder="1" applyAlignment="1">
      <alignment horizontal="right" vertical="center" wrapText="1"/>
    </xf>
    <xf numFmtId="194" fontId="5" fillId="33" borderId="12" xfId="58" applyNumberFormat="1" applyFont="1" applyFill="1" applyBorder="1" applyAlignment="1">
      <alignment horizontal="right" vertical="center" wrapText="1"/>
      <protection/>
    </xf>
    <xf numFmtId="3" fontId="52" fillId="0" borderId="0" xfId="0" applyNumberFormat="1" applyFont="1" applyBorder="1" applyAlignment="1">
      <alignment horizontal="right" vertical="center" wrapText="1"/>
    </xf>
    <xf numFmtId="194" fontId="0" fillId="0" borderId="0" xfId="0" applyNumberFormat="1" applyAlignment="1">
      <alignment/>
    </xf>
    <xf numFmtId="0" fontId="52" fillId="33" borderId="0" xfId="0" applyFont="1" applyFill="1" applyAlignment="1">
      <alignment vertical="center" wrapText="1"/>
    </xf>
    <xf numFmtId="0" fontId="51" fillId="33" borderId="0" xfId="0" applyFont="1" applyFill="1" applyAlignment="1">
      <alignment vertical="center" wrapText="1"/>
    </xf>
    <xf numFmtId="10" fontId="8" fillId="33" borderId="0" xfId="65" applyNumberFormat="1" applyFont="1" applyFill="1" applyBorder="1" applyAlignment="1">
      <alignment vertical="top" wrapText="1"/>
    </xf>
    <xf numFmtId="0" fontId="5" fillId="33" borderId="0" xfId="58" applyFont="1" applyFill="1" applyAlignment="1">
      <alignment horizontal="center"/>
      <protection/>
    </xf>
    <xf numFmtId="0" fontId="51" fillId="33" borderId="0" xfId="0" applyFont="1" applyFill="1" applyAlignment="1">
      <alignment vertical="center" wrapText="1"/>
    </xf>
    <xf numFmtId="200" fontId="52" fillId="33" borderId="0" xfId="0" applyNumberFormat="1" applyFont="1" applyFill="1" applyAlignment="1">
      <alignment vertical="center" wrapText="1"/>
    </xf>
    <xf numFmtId="14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1" fillId="0" borderId="0" xfId="0" applyFont="1" applyAlignment="1">
      <alignment vertical="center" wrapText="1"/>
    </xf>
    <xf numFmtId="194" fontId="53" fillId="33" borderId="0" xfId="0" applyNumberFormat="1" applyFont="1" applyFill="1" applyAlignment="1">
      <alignment vertical="center" wrapText="1"/>
    </xf>
    <xf numFmtId="3" fontId="51" fillId="33" borderId="0" xfId="0" applyNumberFormat="1" applyFont="1" applyFill="1" applyAlignment="1">
      <alignment horizontal="right" vertical="center"/>
    </xf>
    <xf numFmtId="3" fontId="51" fillId="33" borderId="0" xfId="0" applyNumberFormat="1" applyFont="1" applyFill="1" applyAlignment="1">
      <alignment vertical="center"/>
    </xf>
    <xf numFmtId="3" fontId="0" fillId="0" borderId="0" xfId="0" applyNumberFormat="1" applyAlignment="1">
      <alignment/>
    </xf>
    <xf numFmtId="194" fontId="51" fillId="33" borderId="0" xfId="0" applyNumberFormat="1" applyFont="1" applyFill="1" applyAlignment="1">
      <alignment vertical="center"/>
    </xf>
    <xf numFmtId="3" fontId="51" fillId="33" borderId="10" xfId="0" applyNumberFormat="1" applyFont="1" applyFill="1" applyBorder="1" applyAlignment="1">
      <alignment horizontal="right" vertical="center"/>
    </xf>
    <xf numFmtId="0" fontId="5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 horizontal="right"/>
    </xf>
    <xf numFmtId="0" fontId="52" fillId="33" borderId="0" xfId="0" applyFont="1" applyFill="1" applyAlignment="1">
      <alignment horizontal="center" vertical="center" wrapText="1"/>
    </xf>
    <xf numFmtId="0" fontId="5" fillId="33" borderId="0" xfId="58" applyFont="1" applyFill="1" applyAlignment="1">
      <alignment horizontal="center"/>
      <protection/>
    </xf>
    <xf numFmtId="0" fontId="52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200" fontId="52" fillId="33" borderId="0" xfId="0" applyNumberFormat="1" applyFont="1" applyFill="1" applyAlignment="1">
      <alignment vertical="center" wrapText="1"/>
    </xf>
    <xf numFmtId="0" fontId="57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left" vertical="center" wrapText="1"/>
    </xf>
    <xf numFmtId="0" fontId="5" fillId="33" borderId="0" xfId="58" applyFont="1" applyFill="1" applyAlignment="1">
      <alignment horizontal="center"/>
      <protection/>
    </xf>
    <xf numFmtId="0" fontId="52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200" fontId="52" fillId="33" borderId="0" xfId="0" applyNumberFormat="1" applyFont="1" applyFill="1" applyAlignment="1">
      <alignment vertical="center" wrapText="1"/>
    </xf>
    <xf numFmtId="0" fontId="52" fillId="33" borderId="0" xfId="0" applyFont="1" applyFill="1" applyAlignment="1">
      <alignment vertical="center"/>
    </xf>
    <xf numFmtId="3" fontId="5" fillId="33" borderId="19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0" fontId="10" fillId="33" borderId="0" xfId="59" applyFont="1" applyFill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5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194" fontId="4" fillId="33" borderId="13" xfId="58" applyNumberFormat="1" applyFont="1" applyFill="1" applyBorder="1" applyAlignment="1">
      <alignment horizontal="right" vertical="center" wrapText="1"/>
      <protection/>
    </xf>
    <xf numFmtId="3" fontId="51" fillId="33" borderId="13" xfId="0" applyNumberFormat="1" applyFont="1" applyFill="1" applyBorder="1" applyAlignment="1">
      <alignment horizontal="right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 2 2 2 2" xfId="33"/>
    <cellStyle name="Normal 7" xfId="34"/>
    <cellStyle name="Normal 7 2 2 2" xfId="35"/>
    <cellStyle name="Normal 7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Лист1" xfId="58"/>
    <cellStyle name="Обычный_Лист3" xfId="59"/>
    <cellStyle name="Обычный_ОПУ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"/>
  <sheetViews>
    <sheetView workbookViewId="0" topLeftCell="A1">
      <selection activeCell="C3" sqref="C1:E16384"/>
    </sheetView>
  </sheetViews>
  <sheetFormatPr defaultColWidth="9.140625" defaultRowHeight="15"/>
  <cols>
    <col min="1" max="1" width="35.00390625" style="0" customWidth="1"/>
    <col min="3" max="3" width="14.57421875" style="5" customWidth="1"/>
    <col min="4" max="4" width="10.140625" style="5" bestFit="1" customWidth="1"/>
    <col min="5" max="5" width="14.00390625" style="5" customWidth="1"/>
    <col min="7" max="7" width="23.421875" style="23" customWidth="1"/>
    <col min="8" max="8" width="15.7109375" style="23" customWidth="1"/>
    <col min="9" max="9" width="14.7109375" style="23" customWidth="1"/>
    <col min="10" max="11" width="9.140625" style="23" customWidth="1"/>
    <col min="12" max="12" width="17.7109375" style="23" customWidth="1"/>
    <col min="13" max="13" width="14.00390625" style="23" customWidth="1"/>
    <col min="14" max="14" width="13.8515625" style="23" customWidth="1"/>
    <col min="15" max="15" width="9.140625" style="23" customWidth="1"/>
  </cols>
  <sheetData>
    <row r="1" spans="1:11" ht="34.5" customHeight="1">
      <c r="A1" s="130" t="s">
        <v>100</v>
      </c>
      <c r="B1" s="130"/>
      <c r="C1" s="130"/>
      <c r="D1" s="130"/>
      <c r="E1" s="130"/>
      <c r="K1" s="23" t="s">
        <v>55</v>
      </c>
    </row>
    <row r="2" spans="1:6" ht="15.75">
      <c r="A2" s="130"/>
      <c r="B2" s="130"/>
      <c r="C2" s="130"/>
      <c r="D2" s="130"/>
      <c r="E2" s="130"/>
      <c r="F2" s="38"/>
    </row>
    <row r="3" spans="1:8" ht="15" customHeight="1">
      <c r="A3" s="63"/>
      <c r="B3" s="129" t="s">
        <v>39</v>
      </c>
      <c r="C3" s="110">
        <v>44651</v>
      </c>
      <c r="D3" s="20"/>
      <c r="E3" s="110">
        <v>44286</v>
      </c>
      <c r="H3" s="29"/>
    </row>
    <row r="4" spans="1:12" ht="15.75" thickBot="1">
      <c r="A4" s="65"/>
      <c r="B4" s="129"/>
      <c r="C4" s="22" t="s">
        <v>0</v>
      </c>
      <c r="D4" s="122"/>
      <c r="E4" s="22" t="s">
        <v>0</v>
      </c>
      <c r="G4" s="40"/>
      <c r="H4" s="48"/>
      <c r="K4" s="30"/>
      <c r="L4" s="39"/>
    </row>
    <row r="5" spans="1:12" ht="15">
      <c r="A5" s="70" t="s">
        <v>49</v>
      </c>
      <c r="B5" s="64">
        <v>18</v>
      </c>
      <c r="C5" s="44">
        <f>1382023+984945</f>
        <v>2366968</v>
      </c>
      <c r="D5" s="44"/>
      <c r="E5" s="44">
        <f>1819496+726418+1</f>
        <v>2545915</v>
      </c>
      <c r="G5" s="49"/>
      <c r="H5" s="29"/>
      <c r="I5" s="50"/>
      <c r="K5" s="30"/>
      <c r="L5" s="29"/>
    </row>
    <row r="6" spans="1:14" ht="15">
      <c r="A6" s="70" t="s">
        <v>40</v>
      </c>
      <c r="B6" s="64">
        <v>19</v>
      </c>
      <c r="C6" s="1">
        <f>-1182373-750386-125121-12412+1</f>
        <v>-2070291</v>
      </c>
      <c r="D6" s="126"/>
      <c r="E6" s="1">
        <f>-996724-473447-222453</f>
        <v>-1692624</v>
      </c>
      <c r="G6" s="51"/>
      <c r="H6" s="52"/>
      <c r="I6" s="28"/>
      <c r="K6" s="30"/>
      <c r="L6" s="53"/>
      <c r="M6" s="25"/>
      <c r="N6" s="25"/>
    </row>
    <row r="7" spans="1:14" ht="15">
      <c r="A7" s="71" t="s">
        <v>41</v>
      </c>
      <c r="B7" s="64"/>
      <c r="C7" s="31">
        <f>SUM(C5:C6)</f>
        <v>296677</v>
      </c>
      <c r="D7" s="126"/>
      <c r="E7" s="31">
        <f>SUM(E5:E6)</f>
        <v>853291</v>
      </c>
      <c r="G7" s="51"/>
      <c r="H7" s="52"/>
      <c r="I7" s="28"/>
      <c r="K7" s="30"/>
      <c r="L7" s="53"/>
      <c r="M7" s="25"/>
      <c r="N7" s="25"/>
    </row>
    <row r="8" spans="1:14" ht="15">
      <c r="A8" s="70" t="s">
        <v>1</v>
      </c>
      <c r="B8" s="64">
        <v>20</v>
      </c>
      <c r="C8" s="144">
        <f>-65162-396690+215552+12412+1-3954</f>
        <v>-237841</v>
      </c>
      <c r="D8" s="1"/>
      <c r="E8" s="144">
        <f>-66499-382893+222453+26832+1-5061</f>
        <v>-205167</v>
      </c>
      <c r="G8" s="51"/>
      <c r="H8" s="53"/>
      <c r="I8" s="54"/>
      <c r="K8" s="30"/>
      <c r="L8" s="53"/>
      <c r="M8" s="25"/>
      <c r="N8" s="25"/>
    </row>
    <row r="9" spans="1:14" ht="15">
      <c r="A9" s="70" t="s">
        <v>42</v>
      </c>
      <c r="B9" s="64"/>
      <c r="C9" s="44">
        <f>70109-2</f>
        <v>70107</v>
      </c>
      <c r="D9" s="13"/>
      <c r="E9" s="44">
        <f>28205-26832-1-531</f>
        <v>841</v>
      </c>
      <c r="G9" s="55"/>
      <c r="H9" s="54"/>
      <c r="I9" s="54"/>
      <c r="K9" s="30"/>
      <c r="N9" s="26"/>
    </row>
    <row r="10" spans="1:11" ht="30">
      <c r="A10" s="70" t="s">
        <v>54</v>
      </c>
      <c r="B10" s="64"/>
      <c r="C10" s="1"/>
      <c r="D10" s="13"/>
      <c r="E10" s="1"/>
      <c r="G10" s="51"/>
      <c r="H10" s="54"/>
      <c r="I10" s="54"/>
      <c r="K10" s="60"/>
    </row>
    <row r="11" spans="1:12" ht="28.5">
      <c r="A11" s="71" t="s">
        <v>43</v>
      </c>
      <c r="B11" s="64"/>
      <c r="C11" s="31">
        <f>SUM(C7:C9)</f>
        <v>128943</v>
      </c>
      <c r="D11" s="124"/>
      <c r="E11" s="31">
        <f>SUM(E7:E10)</f>
        <v>648965</v>
      </c>
      <c r="G11" s="51"/>
      <c r="H11" s="53"/>
      <c r="I11" s="27"/>
      <c r="K11" s="60"/>
      <c r="L11" s="24"/>
    </row>
    <row r="12" spans="1:12" ht="15">
      <c r="A12" s="70" t="s">
        <v>36</v>
      </c>
      <c r="B12" s="64">
        <v>21</v>
      </c>
      <c r="C12" s="145">
        <f>308861+39732</f>
        <v>348593</v>
      </c>
      <c r="D12" s="44"/>
      <c r="E12" s="145">
        <f>221066+241754+4114+1</f>
        <v>466935</v>
      </c>
      <c r="G12" s="51"/>
      <c r="H12" s="53"/>
      <c r="K12" s="30"/>
      <c r="L12" s="24"/>
    </row>
    <row r="13" spans="1:12" ht="15">
      <c r="A13" s="70" t="s">
        <v>37</v>
      </c>
      <c r="B13" s="64">
        <v>21</v>
      </c>
      <c r="C13" s="1">
        <f>-435036</f>
        <v>-435036</v>
      </c>
      <c r="D13" s="126"/>
      <c r="E13" s="1">
        <f>-332881</f>
        <v>-332881</v>
      </c>
      <c r="G13" s="51"/>
      <c r="H13" s="53"/>
      <c r="K13" s="3"/>
      <c r="L13" s="24"/>
    </row>
    <row r="14" spans="1:12" ht="15.75" thickBot="1">
      <c r="A14" s="71" t="s">
        <v>38</v>
      </c>
      <c r="B14" s="64"/>
      <c r="C14" s="32">
        <f>SUM(C12:C13)</f>
        <v>-86443</v>
      </c>
      <c r="D14" s="68"/>
      <c r="E14" s="32">
        <f>SUM(E12:E13)</f>
        <v>134054</v>
      </c>
      <c r="K14" s="30"/>
      <c r="L14" s="53"/>
    </row>
    <row r="15" spans="1:12" ht="15">
      <c r="A15" s="71" t="s">
        <v>44</v>
      </c>
      <c r="B15" s="64"/>
      <c r="C15" s="33">
        <f>C11+C14</f>
        <v>42500</v>
      </c>
      <c r="D15" s="4"/>
      <c r="E15" s="33">
        <f>E11+E14</f>
        <v>783019</v>
      </c>
      <c r="K15" s="30"/>
      <c r="L15" s="53"/>
    </row>
    <row r="16" spans="1:11" ht="15">
      <c r="A16" s="70" t="s">
        <v>45</v>
      </c>
      <c r="B16" s="64">
        <v>22</v>
      </c>
      <c r="C16" s="1">
        <f>-9291+791</f>
        <v>-8500</v>
      </c>
      <c r="D16" s="69"/>
      <c r="E16" s="1">
        <v>-155287</v>
      </c>
      <c r="F16" s="42"/>
      <c r="G16" s="106"/>
      <c r="H16" s="56"/>
      <c r="K16" s="61"/>
    </row>
    <row r="17" spans="1:13" ht="29.25" thickBot="1">
      <c r="A17" s="71" t="s">
        <v>48</v>
      </c>
      <c r="B17" s="64"/>
      <c r="C17" s="34">
        <f>C15+C16</f>
        <v>34000</v>
      </c>
      <c r="D17" s="124"/>
      <c r="E17" s="34">
        <f>E15+E16</f>
        <v>627732</v>
      </c>
      <c r="G17" s="49"/>
      <c r="H17" s="48"/>
      <c r="K17" s="61"/>
      <c r="L17" s="44"/>
      <c r="M17" s="41"/>
    </row>
    <row r="18" spans="1:11" ht="15.75" thickTop="1">
      <c r="A18" s="71"/>
      <c r="B18" s="64"/>
      <c r="C18" s="14"/>
      <c r="D18" s="124"/>
      <c r="E18" s="14"/>
      <c r="G18" s="51"/>
      <c r="H18" s="53"/>
      <c r="K18" s="30"/>
    </row>
    <row r="19" spans="1:11" ht="15">
      <c r="A19" s="71" t="s">
        <v>46</v>
      </c>
      <c r="B19" s="64"/>
      <c r="C19" s="14"/>
      <c r="D19" s="124"/>
      <c r="E19" s="14"/>
      <c r="G19" s="51"/>
      <c r="H19" s="53"/>
      <c r="K19" s="40"/>
    </row>
    <row r="20" spans="1:9" ht="15.75" thickBot="1">
      <c r="A20" s="70" t="s">
        <v>47</v>
      </c>
      <c r="B20" s="64">
        <v>12</v>
      </c>
      <c r="C20" s="21">
        <f>C17/30000*1000</f>
        <v>1133.3333333333333</v>
      </c>
      <c r="D20" s="124"/>
      <c r="E20" s="21">
        <f>E17/30000*1000</f>
        <v>20924.399999999998</v>
      </c>
      <c r="G20" s="49"/>
      <c r="H20" s="48"/>
      <c r="I20" s="53"/>
    </row>
    <row r="21" spans="1:8" ht="15">
      <c r="A21" s="5"/>
      <c r="B21" s="5"/>
      <c r="G21" s="40"/>
      <c r="H21" s="26"/>
    </row>
    <row r="22" spans="1:8" ht="15">
      <c r="A22" s="5"/>
      <c r="B22" s="5"/>
      <c r="H22" s="57"/>
    </row>
    <row r="23" spans="1:8" ht="15.75" customHeight="1">
      <c r="A23" s="131" t="s">
        <v>95</v>
      </c>
      <c r="B23" s="131"/>
      <c r="C23" s="131"/>
      <c r="D23" s="131"/>
      <c r="E23" s="131"/>
      <c r="H23" s="24"/>
    </row>
    <row r="24" spans="1:5" ht="15.75" customHeight="1">
      <c r="A24" s="128" t="s">
        <v>50</v>
      </c>
      <c r="B24" s="128"/>
      <c r="C24" s="128"/>
      <c r="D24" s="128"/>
      <c r="E24" s="128"/>
    </row>
    <row r="25" spans="1:2" ht="15.75">
      <c r="A25" s="72"/>
      <c r="B25" s="5"/>
    </row>
    <row r="26" spans="1:5" ht="15.75" customHeight="1">
      <c r="A26" s="131" t="s">
        <v>51</v>
      </c>
      <c r="B26" s="131"/>
      <c r="C26" s="131"/>
      <c r="D26" s="131"/>
      <c r="E26" s="131"/>
    </row>
    <row r="27" spans="1:5" ht="15.75">
      <c r="A27" s="128"/>
      <c r="B27" s="128"/>
      <c r="C27" s="128"/>
      <c r="D27" s="128"/>
      <c r="E27" s="128"/>
    </row>
    <row r="28" spans="1:2" ht="15.75">
      <c r="A28" s="72" t="s">
        <v>52</v>
      </c>
      <c r="B28" s="5"/>
    </row>
    <row r="31" ht="15">
      <c r="C31" s="35"/>
    </row>
  </sheetData>
  <sheetProtection/>
  <mergeCells count="7">
    <mergeCell ref="A27:E27"/>
    <mergeCell ref="B3:B4"/>
    <mergeCell ref="A1:E1"/>
    <mergeCell ref="A23:E23"/>
    <mergeCell ref="A24:E24"/>
    <mergeCell ref="A26:E26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9"/>
  <sheetViews>
    <sheetView workbookViewId="0" topLeftCell="A1">
      <selection activeCell="Q39" sqref="Q39"/>
    </sheetView>
  </sheetViews>
  <sheetFormatPr defaultColWidth="9.140625" defaultRowHeight="15"/>
  <cols>
    <col min="1" max="1" width="29.8515625" style="5" customWidth="1"/>
    <col min="2" max="3" width="9.140625" style="5" customWidth="1"/>
    <col min="4" max="4" width="16.00390625" style="18" customWidth="1"/>
    <col min="5" max="5" width="9.140625" style="19" customWidth="1"/>
    <col min="6" max="6" width="16.57421875" style="19" customWidth="1"/>
    <col min="7" max="7" width="14.28125" style="5" customWidth="1"/>
    <col min="8" max="8" width="22.421875" style="5" customWidth="1"/>
    <col min="9" max="16384" width="9.140625" style="5" customWidth="1"/>
  </cols>
  <sheetData>
    <row r="1" spans="1:6" ht="15">
      <c r="A1" s="132" t="s">
        <v>82</v>
      </c>
      <c r="B1" s="132"/>
      <c r="C1" s="132"/>
      <c r="D1" s="132"/>
      <c r="E1" s="132"/>
      <c r="F1" s="132"/>
    </row>
    <row r="2" spans="1:6" ht="15">
      <c r="A2" s="132" t="s">
        <v>101</v>
      </c>
      <c r="B2" s="132"/>
      <c r="C2" s="132"/>
      <c r="D2" s="132"/>
      <c r="E2" s="132"/>
      <c r="F2" s="132"/>
    </row>
    <row r="3" spans="1:7" ht="15">
      <c r="A3" s="62"/>
      <c r="B3" s="123"/>
      <c r="C3" s="123"/>
      <c r="D3" s="123"/>
      <c r="E3" s="62"/>
      <c r="F3" s="107"/>
      <c r="G3" s="38"/>
    </row>
    <row r="4" spans="1:7" ht="25.5">
      <c r="A4" s="63"/>
      <c r="B4" s="129" t="s">
        <v>13</v>
      </c>
      <c r="C4" s="122"/>
      <c r="D4" s="6" t="s">
        <v>2</v>
      </c>
      <c r="E4" s="6"/>
      <c r="F4" s="6" t="s">
        <v>3</v>
      </c>
      <c r="G4" s="46"/>
    </row>
    <row r="5" spans="1:7" ht="15.75" thickBot="1">
      <c r="A5" s="65"/>
      <c r="B5" s="129"/>
      <c r="C5" s="122"/>
      <c r="D5" s="7" t="s">
        <v>0</v>
      </c>
      <c r="E5" s="6"/>
      <c r="F5" s="7" t="s">
        <v>0</v>
      </c>
      <c r="G5" s="46"/>
    </row>
    <row r="6" spans="1:7" ht="15">
      <c r="A6" s="63" t="s">
        <v>14</v>
      </c>
      <c r="B6" s="125"/>
      <c r="C6" s="122"/>
      <c r="D6" s="58"/>
      <c r="E6" s="66"/>
      <c r="F6" s="109"/>
      <c r="G6" s="45"/>
    </row>
    <row r="7" spans="1:7" ht="15">
      <c r="A7" s="63" t="s">
        <v>15</v>
      </c>
      <c r="B7" s="125"/>
      <c r="C7" s="125"/>
      <c r="D7" s="58"/>
      <c r="E7" s="8"/>
      <c r="F7" s="109"/>
      <c r="G7" s="45"/>
    </row>
    <row r="8" spans="1:7" ht="15">
      <c r="A8" s="65" t="s">
        <v>7</v>
      </c>
      <c r="B8" s="125">
        <v>5</v>
      </c>
      <c r="C8" s="125"/>
      <c r="D8" s="9">
        <v>6978919</v>
      </c>
      <c r="E8" s="8"/>
      <c r="F8" s="9">
        <v>7443984</v>
      </c>
      <c r="G8" s="47"/>
    </row>
    <row r="9" spans="1:7" ht="15">
      <c r="A9" s="65" t="s">
        <v>6</v>
      </c>
      <c r="B9" s="10">
        <v>6</v>
      </c>
      <c r="C9" s="125"/>
      <c r="D9" s="9">
        <f>3238359+456980+36250</f>
        <v>3731589</v>
      </c>
      <c r="E9" s="8"/>
      <c r="F9" s="9">
        <f>3310268+455152-1+36250-1</f>
        <v>3801668</v>
      </c>
      <c r="G9" s="47"/>
    </row>
    <row r="10" spans="1:7" ht="25.5">
      <c r="A10" s="65" t="s">
        <v>18</v>
      </c>
      <c r="B10" s="125">
        <v>7</v>
      </c>
      <c r="C10" s="125"/>
      <c r="D10" s="9">
        <f>1669722+39732-49613+1-74360</f>
        <v>1585482</v>
      </c>
      <c r="E10" s="8"/>
      <c r="F10" s="9">
        <f>885768-25390+1-69361</f>
        <v>791018</v>
      </c>
      <c r="G10" s="47"/>
    </row>
    <row r="11" spans="1:7" ht="15">
      <c r="A11" s="108" t="s">
        <v>19</v>
      </c>
      <c r="B11" s="10"/>
      <c r="C11" s="125"/>
      <c r="D11" s="9">
        <v>3141</v>
      </c>
      <c r="E11" s="8"/>
      <c r="F11" s="9" t="s">
        <v>88</v>
      </c>
      <c r="G11" s="47"/>
    </row>
    <row r="12" spans="1:7" ht="15">
      <c r="A12" s="65" t="s">
        <v>16</v>
      </c>
      <c r="B12" s="125">
        <v>8</v>
      </c>
      <c r="C12" s="125"/>
      <c r="D12" s="9">
        <v>100000</v>
      </c>
      <c r="E12" s="8"/>
      <c r="F12" s="9">
        <f>100000</f>
        <v>100000</v>
      </c>
      <c r="G12" s="47"/>
    </row>
    <row r="13" spans="1:7" ht="25.5">
      <c r="A13" s="108" t="s">
        <v>106</v>
      </c>
      <c r="B13" s="125">
        <v>9</v>
      </c>
      <c r="C13" s="125"/>
      <c r="D13" s="9">
        <v>1462234</v>
      </c>
      <c r="E13" s="8"/>
      <c r="F13" s="9">
        <v>1462232</v>
      </c>
      <c r="G13" s="47"/>
    </row>
    <row r="14" spans="1:7" ht="15.75" thickBot="1">
      <c r="A14" s="63" t="s">
        <v>11</v>
      </c>
      <c r="B14" s="125"/>
      <c r="C14" s="125"/>
      <c r="D14" s="11">
        <f>SUM(D8:D13)</f>
        <v>13861365</v>
      </c>
      <c r="E14" s="8"/>
      <c r="F14" s="11">
        <f>SUM(F8:F13)</f>
        <v>13598902</v>
      </c>
      <c r="G14" s="45"/>
    </row>
    <row r="15" spans="1:7" ht="15">
      <c r="A15" s="65"/>
      <c r="B15" s="125"/>
      <c r="C15" s="125"/>
      <c r="D15" s="58"/>
      <c r="E15" s="8"/>
      <c r="F15" s="109"/>
      <c r="G15" s="45"/>
    </row>
    <row r="16" spans="1:7" ht="15">
      <c r="A16" s="63" t="s">
        <v>17</v>
      </c>
      <c r="B16" s="125"/>
      <c r="C16" s="125"/>
      <c r="D16" s="58"/>
      <c r="E16" s="8"/>
      <c r="F16" s="109"/>
      <c r="G16" s="45"/>
    </row>
    <row r="17" spans="1:7" ht="25.5">
      <c r="A17" s="65" t="s">
        <v>4</v>
      </c>
      <c r="B17" s="125">
        <v>11</v>
      </c>
      <c r="C17" s="125"/>
      <c r="D17" s="9">
        <v>4405277</v>
      </c>
      <c r="E17" s="8"/>
      <c r="F17" s="9">
        <f>14759964-11554791+3169999+555-F13+371</f>
        <v>4913866</v>
      </c>
      <c r="G17" s="47"/>
    </row>
    <row r="18" spans="1:7" ht="15">
      <c r="A18" s="65" t="s">
        <v>16</v>
      </c>
      <c r="B18" s="125">
        <v>8</v>
      </c>
      <c r="C18" s="125"/>
      <c r="D18" s="9">
        <v>7760247</v>
      </c>
      <c r="E18" s="8"/>
      <c r="F18" s="9">
        <f>11554791-F12-3169999-79611+558</f>
        <v>8205739</v>
      </c>
      <c r="G18" s="47"/>
    </row>
    <row r="19" spans="1:7" ht="25.5">
      <c r="A19" s="65" t="s">
        <v>18</v>
      </c>
      <c r="B19" s="125">
        <v>7</v>
      </c>
      <c r="C19" s="125"/>
      <c r="D19" s="9">
        <f>5201303-57502+13920+49613+36414-1</f>
        <v>5243747</v>
      </c>
      <c r="E19" s="8"/>
      <c r="F19" s="9">
        <f>3858243-48020+79611+25390+17140+1</f>
        <v>3932365</v>
      </c>
      <c r="G19" s="47"/>
    </row>
    <row r="20" spans="1:7" ht="15">
      <c r="A20" s="65" t="s">
        <v>53</v>
      </c>
      <c r="B20" s="125">
        <v>18</v>
      </c>
      <c r="C20" s="125"/>
      <c r="D20" s="9">
        <f>1124663-36414</f>
        <v>1088249</v>
      </c>
      <c r="E20" s="8"/>
      <c r="F20" s="9">
        <f>1676351-17140</f>
        <v>1659211</v>
      </c>
      <c r="G20" s="47"/>
    </row>
    <row r="21" spans="1:7" ht="15">
      <c r="A21" s="65" t="s">
        <v>19</v>
      </c>
      <c r="B21" s="125">
        <v>10</v>
      </c>
      <c r="C21" s="125"/>
      <c r="D21" s="9">
        <f>3220627-13817-1124663-1+37-43</f>
        <v>2082140</v>
      </c>
      <c r="E21" s="8"/>
      <c r="F21" s="9">
        <f>2030254-20944-1676351+2+100-42</f>
        <v>333019</v>
      </c>
      <c r="G21" s="47"/>
    </row>
    <row r="22" spans="1:7" ht="15">
      <c r="A22" s="65" t="s">
        <v>5</v>
      </c>
      <c r="B22" s="125"/>
      <c r="C22" s="125"/>
      <c r="D22" s="9">
        <v>21445</v>
      </c>
      <c r="E22" s="8"/>
      <c r="F22" s="9">
        <v>21398</v>
      </c>
      <c r="G22" s="47"/>
    </row>
    <row r="23" spans="1:7" ht="15">
      <c r="A23" s="65" t="s">
        <v>20</v>
      </c>
      <c r="B23" s="125"/>
      <c r="C23" s="125"/>
      <c r="D23" s="9">
        <f>254877-23989+3</f>
        <v>230891</v>
      </c>
      <c r="E23" s="8"/>
      <c r="F23" s="9">
        <f>94081+3</f>
        <v>94084</v>
      </c>
      <c r="G23" s="47"/>
    </row>
    <row r="24" spans="1:7" ht="15">
      <c r="A24" s="108" t="s">
        <v>107</v>
      </c>
      <c r="B24" s="125"/>
      <c r="C24" s="125"/>
      <c r="D24" s="9">
        <v>10246</v>
      </c>
      <c r="E24" s="8"/>
      <c r="F24" s="9">
        <f>107494-94081-3178-2</f>
        <v>10233</v>
      </c>
      <c r="G24" s="108"/>
    </row>
    <row r="25" spans="1:7" ht="15.75" thickBot="1">
      <c r="A25" s="63" t="s">
        <v>21</v>
      </c>
      <c r="B25" s="125"/>
      <c r="C25" s="125"/>
      <c r="D25" s="11">
        <f>SUM(D17:D24)</f>
        <v>20842242</v>
      </c>
      <c r="E25" s="8"/>
      <c r="F25" s="11">
        <f>SUM(F17:F24)</f>
        <v>19169915</v>
      </c>
      <c r="G25" s="45"/>
    </row>
    <row r="26" spans="1:8" ht="15.75" thickBot="1">
      <c r="A26" s="63" t="s">
        <v>22</v>
      </c>
      <c r="B26" s="125"/>
      <c r="C26" s="125"/>
      <c r="D26" s="12">
        <f>D14+D25</f>
        <v>34703607</v>
      </c>
      <c r="E26" s="8"/>
      <c r="F26" s="12">
        <f>F14+F25</f>
        <v>32768817</v>
      </c>
      <c r="G26" s="45"/>
      <c r="H26" s="59"/>
    </row>
    <row r="27" spans="1:7" ht="15.75" thickTop="1">
      <c r="A27" s="63"/>
      <c r="B27" s="134"/>
      <c r="C27" s="135"/>
      <c r="D27" s="43"/>
      <c r="E27" s="136"/>
      <c r="F27" s="43"/>
      <c r="G27" s="133"/>
    </row>
    <row r="28" spans="1:7" ht="15">
      <c r="A28" s="63" t="s">
        <v>23</v>
      </c>
      <c r="B28" s="134"/>
      <c r="C28" s="135"/>
      <c r="D28" s="127"/>
      <c r="E28" s="136"/>
      <c r="F28" s="109"/>
      <c r="G28" s="133"/>
    </row>
    <row r="29" spans="1:7" ht="15">
      <c r="A29" s="63" t="s">
        <v>24</v>
      </c>
      <c r="B29" s="125"/>
      <c r="C29" s="126"/>
      <c r="D29" s="58"/>
      <c r="E29" s="66"/>
      <c r="F29" s="8"/>
      <c r="G29" s="47"/>
    </row>
    <row r="30" spans="1:7" ht="15">
      <c r="A30" s="65" t="s">
        <v>25</v>
      </c>
      <c r="B30" s="125">
        <v>12</v>
      </c>
      <c r="C30" s="126"/>
      <c r="D30" s="9">
        <v>300000</v>
      </c>
      <c r="E30" s="8"/>
      <c r="F30" s="9">
        <v>300000</v>
      </c>
      <c r="G30" s="47"/>
    </row>
    <row r="31" spans="1:7" ht="25.5">
      <c r="A31" s="65" t="s">
        <v>10</v>
      </c>
      <c r="B31" s="125">
        <v>12</v>
      </c>
      <c r="C31" s="126"/>
      <c r="D31" s="9">
        <v>182606</v>
      </c>
      <c r="E31" s="8"/>
      <c r="F31" s="9">
        <v>182606</v>
      </c>
      <c r="G31" s="47"/>
    </row>
    <row r="32" spans="1:7" ht="15">
      <c r="A32" s="65" t="s">
        <v>12</v>
      </c>
      <c r="B32" s="125">
        <v>12</v>
      </c>
      <c r="C32" s="126"/>
      <c r="D32" s="9">
        <f>9391994+1070121</f>
        <v>10462115</v>
      </c>
      <c r="E32" s="9"/>
      <c r="F32" s="9">
        <f>9391994+1070121</f>
        <v>10462115</v>
      </c>
      <c r="G32" s="47"/>
    </row>
    <row r="33" spans="1:7" ht="15.75" thickBot="1">
      <c r="A33" s="65" t="s">
        <v>9</v>
      </c>
      <c r="B33" s="125"/>
      <c r="C33" s="126"/>
      <c r="D33" s="2">
        <f>F33+ОПУ!C17</f>
        <v>680705</v>
      </c>
      <c r="E33" s="8"/>
      <c r="F33" s="2">
        <v>646705</v>
      </c>
      <c r="G33" s="113"/>
    </row>
    <row r="34" spans="1:7" ht="15.75" thickBot="1">
      <c r="A34" s="63" t="s">
        <v>26</v>
      </c>
      <c r="B34" s="125"/>
      <c r="C34" s="126"/>
      <c r="D34" s="11">
        <f>SUM(D30:D33)</f>
        <v>11625426</v>
      </c>
      <c r="E34" s="8"/>
      <c r="F34" s="11">
        <f>SUM(F30:F33)</f>
        <v>11591426</v>
      </c>
      <c r="G34" s="14"/>
    </row>
    <row r="35" spans="1:7" ht="15">
      <c r="A35" s="65"/>
      <c r="B35" s="125"/>
      <c r="C35" s="126"/>
      <c r="D35" s="15"/>
      <c r="E35" s="8"/>
      <c r="F35" s="8"/>
      <c r="G35" s="47"/>
    </row>
    <row r="36" spans="1:7" ht="15">
      <c r="A36" s="63" t="s">
        <v>27</v>
      </c>
      <c r="B36" s="125"/>
      <c r="C36" s="126"/>
      <c r="D36" s="15"/>
      <c r="E36" s="8"/>
      <c r="F36" s="8"/>
      <c r="G36" s="47"/>
    </row>
    <row r="37" spans="1:7" ht="15">
      <c r="A37" s="65" t="s">
        <v>28</v>
      </c>
      <c r="B37" s="125">
        <v>13</v>
      </c>
      <c r="C37" s="126"/>
      <c r="D37" s="9">
        <f>12608351</f>
        <v>12608351</v>
      </c>
      <c r="E37" s="8"/>
      <c r="F37" s="9">
        <f>12608351</f>
        <v>12608351</v>
      </c>
      <c r="G37" s="47"/>
    </row>
    <row r="38" spans="1:7" ht="15">
      <c r="A38" s="65" t="s">
        <v>29</v>
      </c>
      <c r="B38" s="125">
        <v>14</v>
      </c>
      <c r="C38" s="126"/>
      <c r="D38" s="9">
        <f>2533857-13817</f>
        <v>2520040</v>
      </c>
      <c r="E38" s="8"/>
      <c r="F38" s="9">
        <f>1001482-13817+1</f>
        <v>987666</v>
      </c>
      <c r="G38" s="47"/>
    </row>
    <row r="39" spans="1:7" ht="25.5">
      <c r="A39" s="105" t="s">
        <v>97</v>
      </c>
      <c r="B39" s="125"/>
      <c r="C39" s="126"/>
      <c r="D39" s="9">
        <v>11195</v>
      </c>
      <c r="E39" s="8"/>
      <c r="F39" s="9">
        <v>11195</v>
      </c>
      <c r="G39" s="105"/>
    </row>
    <row r="40" spans="1:7" ht="25.5">
      <c r="A40" s="65" t="s">
        <v>8</v>
      </c>
      <c r="B40" s="125">
        <v>22</v>
      </c>
      <c r="C40" s="126"/>
      <c r="D40" s="9">
        <f>1138755-14699-791</f>
        <v>1123265</v>
      </c>
      <c r="E40" s="8"/>
      <c r="F40" s="9">
        <v>1138755</v>
      </c>
      <c r="G40" s="37"/>
    </row>
    <row r="41" spans="1:7" ht="15.75" thickBot="1">
      <c r="A41" s="63" t="s">
        <v>30</v>
      </c>
      <c r="B41" s="125"/>
      <c r="C41" s="126"/>
      <c r="D41" s="11">
        <f>SUM(D37:D40)</f>
        <v>16262851</v>
      </c>
      <c r="E41" s="8"/>
      <c r="F41" s="11">
        <f>SUM(F37:F40)</f>
        <v>14745967</v>
      </c>
      <c r="G41" s="45"/>
    </row>
    <row r="42" spans="1:7" ht="15">
      <c r="A42" s="63"/>
      <c r="B42" s="125"/>
      <c r="C42" s="126"/>
      <c r="D42" s="15"/>
      <c r="E42" s="8"/>
      <c r="F42" s="8"/>
      <c r="G42" s="47"/>
    </row>
    <row r="43" spans="1:7" ht="15">
      <c r="A43" s="63" t="s">
        <v>31</v>
      </c>
      <c r="B43" s="125"/>
      <c r="C43" s="126"/>
      <c r="D43" s="15"/>
      <c r="E43" s="8"/>
      <c r="F43" s="8"/>
      <c r="G43" s="47"/>
    </row>
    <row r="44" spans="1:7" ht="15">
      <c r="A44" s="65" t="s">
        <v>29</v>
      </c>
      <c r="B44" s="125">
        <v>14</v>
      </c>
      <c r="C44" s="126"/>
      <c r="D44" s="9">
        <f>3340733-1</f>
        <v>3340732</v>
      </c>
      <c r="E44" s="8"/>
      <c r="F44" s="9">
        <f>3205894-7127+2</f>
        <v>3198769</v>
      </c>
      <c r="G44" s="47"/>
    </row>
    <row r="45" spans="1:7" ht="25.5">
      <c r="A45" s="65" t="s">
        <v>32</v>
      </c>
      <c r="B45" s="125">
        <v>15</v>
      </c>
      <c r="C45" s="126"/>
      <c r="D45" s="9">
        <f>2088462-57502-D46-D48+322137+170-1+329</f>
        <v>1025355</v>
      </c>
      <c r="E45" s="8"/>
      <c r="F45" s="9">
        <f>1979904-48020-F46-F48+303133+1456-5</f>
        <v>1238483</v>
      </c>
      <c r="G45" s="47"/>
    </row>
    <row r="46" spans="1:7" ht="15">
      <c r="A46" s="108" t="s">
        <v>108</v>
      </c>
      <c r="B46" s="125"/>
      <c r="C46" s="126"/>
      <c r="D46" s="9">
        <v>1323877</v>
      </c>
      <c r="E46" s="8"/>
      <c r="F46" s="9">
        <v>992908</v>
      </c>
      <c r="G46" s="108"/>
    </row>
    <row r="47" spans="1:7" ht="15">
      <c r="A47" s="108" t="s">
        <v>109</v>
      </c>
      <c r="B47" s="125">
        <v>16</v>
      </c>
      <c r="C47" s="126"/>
      <c r="D47" s="9">
        <v>921522</v>
      </c>
      <c r="E47" s="8"/>
      <c r="F47" s="9">
        <v>921841</v>
      </c>
      <c r="G47" s="108"/>
    </row>
    <row r="48" spans="1:7" ht="25.5">
      <c r="A48" s="105" t="s">
        <v>98</v>
      </c>
      <c r="B48" s="125"/>
      <c r="C48" s="126"/>
      <c r="D48" s="9">
        <v>4363</v>
      </c>
      <c r="E48" s="8"/>
      <c r="F48" s="96">
        <v>5077</v>
      </c>
      <c r="G48" s="105"/>
    </row>
    <row r="49" spans="1:7" ht="25.5">
      <c r="A49" s="108" t="s">
        <v>110</v>
      </c>
      <c r="B49" s="125">
        <v>17</v>
      </c>
      <c r="C49" s="126"/>
      <c r="D49" s="9">
        <f>279055-87394+7706+40+74</f>
        <v>199481</v>
      </c>
      <c r="E49" s="16"/>
      <c r="F49" s="9">
        <f>68960-3178+8256-1+309</f>
        <v>74346</v>
      </c>
      <c r="G49" s="13"/>
    </row>
    <row r="50" spans="1:7" ht="25.5">
      <c r="A50" s="63" t="s">
        <v>33</v>
      </c>
      <c r="B50" s="125"/>
      <c r="C50" s="126"/>
      <c r="D50" s="17">
        <f>SUM(D44:D49)</f>
        <v>6815330</v>
      </c>
      <c r="E50" s="8"/>
      <c r="F50" s="17">
        <f>SUM(F44:F49)</f>
        <v>6431424</v>
      </c>
      <c r="G50" s="45"/>
    </row>
    <row r="51" spans="1:9" ht="15.75" thickBot="1">
      <c r="A51" s="63" t="s">
        <v>34</v>
      </c>
      <c r="B51" s="125"/>
      <c r="C51" s="126"/>
      <c r="D51" s="11">
        <f>D41+D50</f>
        <v>23078181</v>
      </c>
      <c r="E51" s="8"/>
      <c r="F51" s="11">
        <f>F41+F50</f>
        <v>21177391</v>
      </c>
      <c r="G51" s="45"/>
      <c r="H51" s="59"/>
      <c r="I51" s="59"/>
    </row>
    <row r="52" spans="1:8" ht="15.75" thickBot="1">
      <c r="A52" s="63" t="s">
        <v>35</v>
      </c>
      <c r="B52" s="125"/>
      <c r="C52" s="126"/>
      <c r="D52" s="12">
        <f>D34+D51</f>
        <v>34703607</v>
      </c>
      <c r="E52" s="8"/>
      <c r="F52" s="12">
        <f>F34+F51</f>
        <v>32768817</v>
      </c>
      <c r="G52" s="45"/>
      <c r="H52" s="59"/>
    </row>
    <row r="53" spans="1:8" ht="15.75" thickTop="1">
      <c r="A53" s="104"/>
      <c r="B53" s="125"/>
      <c r="C53" s="126"/>
      <c r="D53" s="36">
        <f>D26-D52</f>
        <v>0</v>
      </c>
      <c r="E53" s="8"/>
      <c r="F53" s="36">
        <f>F26-F52</f>
        <v>0</v>
      </c>
      <c r="G53" s="104"/>
      <c r="H53" s="59"/>
    </row>
    <row r="54" spans="1:8" ht="15">
      <c r="A54" s="67" t="s">
        <v>120</v>
      </c>
      <c r="H54" s="19"/>
    </row>
    <row r="56" spans="1:15" s="38" customFormat="1" ht="15.75" customHeight="1">
      <c r="A56" s="131" t="s">
        <v>94</v>
      </c>
      <c r="B56" s="131"/>
      <c r="C56" s="131"/>
      <c r="D56" s="131"/>
      <c r="E56" s="131"/>
      <c r="F56" s="5"/>
      <c r="G56" s="23"/>
      <c r="H56" s="24"/>
      <c r="I56" s="23"/>
      <c r="J56" s="23"/>
      <c r="K56" s="23"/>
      <c r="L56" s="23"/>
      <c r="M56" s="23"/>
      <c r="N56" s="23"/>
      <c r="O56" s="23"/>
    </row>
    <row r="57" spans="1:15" s="38" customFormat="1" ht="15.75" customHeight="1">
      <c r="A57" s="128" t="s">
        <v>50</v>
      </c>
      <c r="B57" s="128"/>
      <c r="C57" s="128"/>
      <c r="D57" s="128"/>
      <c r="E57" s="128"/>
      <c r="F57" s="5"/>
      <c r="G57" s="23"/>
      <c r="H57" s="23"/>
      <c r="I57" s="23"/>
      <c r="J57" s="23"/>
      <c r="K57" s="23"/>
      <c r="L57" s="23"/>
      <c r="M57" s="23"/>
      <c r="N57" s="23"/>
      <c r="O57" s="23"/>
    </row>
    <row r="58" spans="1:15" s="38" customFormat="1" ht="15.75" customHeight="1">
      <c r="A58" s="131" t="s">
        <v>51</v>
      </c>
      <c r="B58" s="131"/>
      <c r="C58" s="131"/>
      <c r="D58" s="131"/>
      <c r="E58" s="131"/>
      <c r="F58" s="5"/>
      <c r="G58" s="23"/>
      <c r="H58" s="23"/>
      <c r="I58" s="23"/>
      <c r="J58" s="23"/>
      <c r="K58" s="23"/>
      <c r="L58" s="23"/>
      <c r="M58" s="23"/>
      <c r="N58" s="23"/>
      <c r="O58" s="23"/>
    </row>
    <row r="59" spans="1:15" s="38" customFormat="1" ht="15.75">
      <c r="A59" s="72" t="s">
        <v>52</v>
      </c>
      <c r="B59" s="5"/>
      <c r="C59" s="5"/>
      <c r="D59" s="5"/>
      <c r="E59" s="5"/>
      <c r="F59" s="5"/>
      <c r="G59" s="23"/>
      <c r="H59" s="23"/>
      <c r="I59" s="23"/>
      <c r="J59" s="23"/>
      <c r="K59" s="23"/>
      <c r="L59" s="23"/>
      <c r="M59" s="23"/>
      <c r="N59" s="23"/>
      <c r="O59" s="23"/>
    </row>
  </sheetData>
  <sheetProtection/>
  <mergeCells count="10">
    <mergeCell ref="A56:E56"/>
    <mergeCell ref="A57:E57"/>
    <mergeCell ref="A58:E58"/>
    <mergeCell ref="A1:F1"/>
    <mergeCell ref="A2:F2"/>
    <mergeCell ref="G27:G28"/>
    <mergeCell ref="B4:B5"/>
    <mergeCell ref="B27:B28"/>
    <mergeCell ref="C27:C28"/>
    <mergeCell ref="E27:E28"/>
  </mergeCells>
  <hyperlinks>
    <hyperlink ref="B9" r:id="rId1" display="_Property,_plant_and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6">
      <selection activeCell="B41" sqref="B41:B42"/>
    </sheetView>
  </sheetViews>
  <sheetFormatPr defaultColWidth="9.140625" defaultRowHeight="15"/>
  <cols>
    <col min="1" max="1" width="46.140625" style="120" customWidth="1"/>
    <col min="2" max="2" width="16.7109375" style="85" customWidth="1"/>
    <col min="3" max="3" width="6.57421875" style="5" customWidth="1"/>
    <col min="4" max="4" width="17.421875" style="121" customWidth="1"/>
    <col min="5" max="5" width="9.140625" style="38" customWidth="1"/>
    <col min="6" max="6" width="12.421875" style="38" bestFit="1" customWidth="1"/>
    <col min="7" max="16384" width="9.140625" style="38" customWidth="1"/>
  </cols>
  <sheetData>
    <row r="1" spans="1:4" ht="15.75">
      <c r="A1" s="140" t="s">
        <v>81</v>
      </c>
      <c r="B1" s="140"/>
      <c r="C1" s="140"/>
      <c r="D1" s="140"/>
    </row>
    <row r="2" spans="1:4" ht="15.75">
      <c r="A2" s="141" t="s">
        <v>102</v>
      </c>
      <c r="B2" s="141"/>
      <c r="C2" s="141"/>
      <c r="D2" s="141"/>
    </row>
    <row r="3" spans="1:4" ht="15">
      <c r="A3" s="142"/>
      <c r="C3" s="73"/>
      <c r="D3" s="73"/>
    </row>
    <row r="4" spans="1:4" ht="15">
      <c r="A4" s="142"/>
      <c r="B4" s="81" t="s">
        <v>112</v>
      </c>
      <c r="C4" s="73"/>
      <c r="D4" s="81" t="s">
        <v>113</v>
      </c>
    </row>
    <row r="5" spans="1:4" ht="15.75" thickBot="1">
      <c r="A5" s="112"/>
      <c r="B5" s="74" t="s">
        <v>0</v>
      </c>
      <c r="C5" s="20"/>
      <c r="D5" s="75" t="s">
        <v>0</v>
      </c>
    </row>
    <row r="6" spans="1:4" ht="15">
      <c r="A6" s="76" t="s">
        <v>56</v>
      </c>
      <c r="B6" s="77"/>
      <c r="C6" s="78"/>
      <c r="D6" s="79"/>
    </row>
    <row r="7" spans="1:6" ht="25.5">
      <c r="A7" s="112" t="s">
        <v>57</v>
      </c>
      <c r="B7" s="83">
        <v>1148194</v>
      </c>
      <c r="C7" s="115"/>
      <c r="D7" s="114">
        <v>3207221</v>
      </c>
      <c r="F7" s="116"/>
    </row>
    <row r="8" spans="1:7" ht="15">
      <c r="A8" s="112" t="s">
        <v>58</v>
      </c>
      <c r="B8" s="1">
        <f>-3585156-22</f>
        <v>-3585178</v>
      </c>
      <c r="C8" s="117"/>
      <c r="D8" s="1">
        <v>-874043</v>
      </c>
      <c r="F8" s="103"/>
      <c r="G8" s="103"/>
    </row>
    <row r="9" spans="1:7" ht="15">
      <c r="A9" s="112" t="s">
        <v>59</v>
      </c>
      <c r="B9" s="1">
        <f>-124220-2499</f>
        <v>-126719</v>
      </c>
      <c r="C9" s="78"/>
      <c r="D9" s="1">
        <v>-106604</v>
      </c>
      <c r="F9" s="103"/>
      <c r="G9" s="103"/>
    </row>
    <row r="10" spans="1:7" ht="15">
      <c r="A10" s="112" t="s">
        <v>114</v>
      </c>
      <c r="B10" s="1">
        <f>-157645-22199-1244</f>
        <v>-181088</v>
      </c>
      <c r="C10" s="78"/>
      <c r="D10" s="1">
        <f>-913024-D15</f>
        <v>-730524</v>
      </c>
      <c r="F10" s="103"/>
      <c r="G10" s="103"/>
    </row>
    <row r="11" spans="1:7" ht="15.75" thickBot="1">
      <c r="A11" s="112" t="s">
        <v>115</v>
      </c>
      <c r="B11" s="2">
        <f>792-24325+7</f>
        <v>-23526</v>
      </c>
      <c r="C11" s="78"/>
      <c r="D11" s="118"/>
      <c r="G11" s="103"/>
    </row>
    <row r="12" spans="1:4" ht="38.25">
      <c r="A12" s="80" t="s">
        <v>60</v>
      </c>
      <c r="B12" s="4">
        <f>SUM(B7:B11)</f>
        <v>-2768317</v>
      </c>
      <c r="C12" s="82"/>
      <c r="D12" s="82">
        <f>SUM(D7:D11)</f>
        <v>1496050</v>
      </c>
    </row>
    <row r="13" spans="1:7" ht="15">
      <c r="A13" s="112" t="s">
        <v>61</v>
      </c>
      <c r="B13" s="1">
        <v>-5483</v>
      </c>
      <c r="C13" s="78"/>
      <c r="D13" s="1">
        <v>-1555</v>
      </c>
      <c r="F13" s="103"/>
      <c r="G13" s="103"/>
    </row>
    <row r="14" spans="1:4" ht="15">
      <c r="A14" s="112" t="s">
        <v>62</v>
      </c>
      <c r="B14" s="83">
        <v>240411</v>
      </c>
      <c r="C14" s="78"/>
      <c r="D14" s="83">
        <v>207217</v>
      </c>
    </row>
    <row r="15" spans="1:6" ht="15">
      <c r="A15" s="112" t="s">
        <v>111</v>
      </c>
      <c r="B15" s="1">
        <v>-154012</v>
      </c>
      <c r="C15" s="78"/>
      <c r="D15" s="1">
        <v>-182500</v>
      </c>
      <c r="F15" s="103"/>
    </row>
    <row r="16" spans="1:4" ht="26.25" thickBot="1">
      <c r="A16" s="76" t="s">
        <v>63</v>
      </c>
      <c r="B16" s="21">
        <f>SUM(B12:B15)</f>
        <v>-2687401</v>
      </c>
      <c r="C16" s="78"/>
      <c r="D16" s="21">
        <f>SUM(D12:D15)</f>
        <v>1519212</v>
      </c>
    </row>
    <row r="17" spans="1:4" ht="15">
      <c r="A17" s="76"/>
      <c r="B17" s="81"/>
      <c r="C17" s="111"/>
      <c r="D17" s="73"/>
    </row>
    <row r="18" spans="1:7" ht="15">
      <c r="A18" s="76" t="s">
        <v>64</v>
      </c>
      <c r="B18" s="84"/>
      <c r="C18" s="111"/>
      <c r="D18" s="73"/>
      <c r="F18" s="103"/>
      <c r="G18" s="103"/>
    </row>
    <row r="19" spans="1:4" ht="15">
      <c r="A19" s="112" t="s">
        <v>65</v>
      </c>
      <c r="B19" s="1">
        <v>-2123</v>
      </c>
      <c r="C19" s="78"/>
      <c r="D19" s="1">
        <v>-164</v>
      </c>
    </row>
    <row r="20" spans="1:4" ht="15">
      <c r="A20" s="112" t="s">
        <v>116</v>
      </c>
      <c r="B20" s="1"/>
      <c r="C20" s="78"/>
      <c r="D20" s="1"/>
    </row>
    <row r="21" spans="1:6" ht="15">
      <c r="A21" s="112" t="s">
        <v>66</v>
      </c>
      <c r="B21" s="1"/>
      <c r="C21" s="78"/>
      <c r="D21" s="1"/>
      <c r="F21" s="103"/>
    </row>
    <row r="22" spans="1:4" ht="15">
      <c r="A22" s="119" t="s">
        <v>67</v>
      </c>
      <c r="B22" s="1"/>
      <c r="C22" s="78"/>
      <c r="D22" s="1"/>
    </row>
    <row r="23" spans="1:6" ht="15">
      <c r="A23" s="119" t="s">
        <v>117</v>
      </c>
      <c r="B23" s="1">
        <f>-63924535-3200000</f>
        <v>-67124535</v>
      </c>
      <c r="C23" s="78"/>
      <c r="D23" s="1"/>
      <c r="F23" s="103"/>
    </row>
    <row r="24" spans="1:4" ht="15">
      <c r="A24" s="119" t="s">
        <v>118</v>
      </c>
      <c r="B24" s="1">
        <f>62829871+4068768</f>
        <v>66898639</v>
      </c>
      <c r="C24" s="78"/>
      <c r="D24" s="1"/>
    </row>
    <row r="25" spans="1:4" ht="15">
      <c r="A25" s="119" t="s">
        <v>68</v>
      </c>
      <c r="B25" s="1">
        <f>-10772114+120876</f>
        <v>-10651238</v>
      </c>
      <c r="C25" s="78"/>
      <c r="D25" s="1">
        <v>-8052752</v>
      </c>
    </row>
    <row r="26" spans="1:4" ht="15.75" thickBot="1">
      <c r="A26" s="112" t="s">
        <v>69</v>
      </c>
      <c r="B26" s="88">
        <f>11388095</f>
        <v>11388095</v>
      </c>
      <c r="C26" s="78"/>
      <c r="D26" s="118">
        <v>6013270</v>
      </c>
    </row>
    <row r="27" spans="1:4" ht="26.25" thickBot="1">
      <c r="A27" s="76" t="s">
        <v>70</v>
      </c>
      <c r="B27" s="21">
        <f>SUM(B19:B26)</f>
        <v>508838</v>
      </c>
      <c r="C27" s="111"/>
      <c r="D27" s="21">
        <f>SUM(D19:D26)</f>
        <v>-2039646</v>
      </c>
    </row>
    <row r="28" spans="1:4" ht="15">
      <c r="A28" s="112"/>
      <c r="B28" s="77"/>
      <c r="C28" s="78"/>
      <c r="D28" s="79"/>
    </row>
    <row r="29" spans="1:4" ht="15">
      <c r="A29" s="76" t="s">
        <v>71</v>
      </c>
      <c r="B29" s="77"/>
      <c r="C29" s="78"/>
      <c r="D29" s="79"/>
    </row>
    <row r="30" spans="1:7" ht="15">
      <c r="A30" s="112" t="s">
        <v>72</v>
      </c>
      <c r="B30" s="77">
        <v>1532374</v>
      </c>
      <c r="C30" s="78"/>
      <c r="D30" s="77">
        <v>509889</v>
      </c>
      <c r="G30" s="103"/>
    </row>
    <row r="31" spans="1:4" ht="15">
      <c r="A31" s="112" t="s">
        <v>73</v>
      </c>
      <c r="B31" s="1"/>
      <c r="C31" s="78"/>
      <c r="D31" s="1">
        <v>-710000</v>
      </c>
    </row>
    <row r="32" spans="1:4" ht="15">
      <c r="A32" s="112" t="s">
        <v>99</v>
      </c>
      <c r="B32" s="1"/>
      <c r="C32" s="78"/>
      <c r="D32" s="1"/>
    </row>
    <row r="33" spans="1:4" ht="15">
      <c r="A33" s="112" t="s">
        <v>74</v>
      </c>
      <c r="B33" s="1"/>
      <c r="C33" s="78"/>
      <c r="D33" s="1"/>
    </row>
    <row r="34" spans="1:4" ht="15">
      <c r="A34" s="112" t="s">
        <v>119</v>
      </c>
      <c r="B34" s="1"/>
      <c r="C34" s="78"/>
      <c r="D34" s="1"/>
    </row>
    <row r="35" spans="1:4" ht="15.75" thickBot="1">
      <c r="A35" s="112" t="s">
        <v>75</v>
      </c>
      <c r="B35" s="2">
        <v>137600</v>
      </c>
      <c r="C35" s="78"/>
      <c r="D35" s="2">
        <v>34800</v>
      </c>
    </row>
    <row r="36" spans="1:4" ht="26.25" thickBot="1">
      <c r="A36" s="76" t="s">
        <v>76</v>
      </c>
      <c r="B36" s="21">
        <f>SUM(B30:B35)</f>
        <v>1669974</v>
      </c>
      <c r="C36" s="111"/>
      <c r="D36" s="21">
        <f>SUM(D30:D35)</f>
        <v>-165311</v>
      </c>
    </row>
    <row r="37" spans="1:4" ht="15">
      <c r="A37" s="76"/>
      <c r="C37" s="137"/>
      <c r="D37" s="86"/>
    </row>
    <row r="38" spans="1:4" ht="25.5">
      <c r="A38" s="76" t="s">
        <v>77</v>
      </c>
      <c r="B38" s="87">
        <f>B16+B27+B36</f>
        <v>-508589</v>
      </c>
      <c r="C38" s="137"/>
      <c r="D38" s="87">
        <f>D16+D27+D36</f>
        <v>-685745</v>
      </c>
    </row>
    <row r="39" spans="1:4" ht="26.25" thickBot="1">
      <c r="A39" s="112" t="s">
        <v>78</v>
      </c>
      <c r="B39" s="88"/>
      <c r="C39" s="111"/>
      <c r="D39" s="2"/>
    </row>
    <row r="40" spans="1:4" ht="15.75" thickBot="1">
      <c r="A40" s="112" t="s">
        <v>79</v>
      </c>
      <c r="B40" s="88">
        <v>4913866</v>
      </c>
      <c r="C40" s="78"/>
      <c r="D40" s="88">
        <v>1371250</v>
      </c>
    </row>
    <row r="41" spans="1:4" ht="15">
      <c r="A41" s="76" t="s">
        <v>80</v>
      </c>
      <c r="B41" s="138">
        <f>B38+B40+B39</f>
        <v>4405277</v>
      </c>
      <c r="C41" s="137"/>
      <c r="D41" s="138">
        <f>D38+D40+D39</f>
        <v>685505</v>
      </c>
    </row>
    <row r="42" spans="1:4" ht="15.75" thickBot="1">
      <c r="A42" s="112"/>
      <c r="B42" s="139"/>
      <c r="C42" s="137"/>
      <c r="D42" s="139"/>
    </row>
    <row r="43" ht="15.75" thickTop="1"/>
  </sheetData>
  <sheetProtection/>
  <mergeCells count="7">
    <mergeCell ref="B41:B42"/>
    <mergeCell ref="C41:C42"/>
    <mergeCell ref="D41:D42"/>
    <mergeCell ref="C37:C38"/>
    <mergeCell ref="A1:D1"/>
    <mergeCell ref="A2:D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26.8515625" style="38" customWidth="1"/>
    <col min="2" max="3" width="9.140625" style="38" customWidth="1"/>
    <col min="4" max="4" width="11.140625" style="38" customWidth="1"/>
    <col min="5" max="5" width="9.140625" style="38" customWidth="1"/>
    <col min="6" max="6" width="14.421875" style="38" customWidth="1"/>
    <col min="7" max="7" width="9.140625" style="38" customWidth="1"/>
    <col min="8" max="8" width="12.7109375" style="38" customWidth="1"/>
    <col min="9" max="9" width="9.140625" style="38" customWidth="1"/>
    <col min="10" max="10" width="11.8515625" style="38" customWidth="1"/>
    <col min="11" max="16384" width="9.140625" style="38" customWidth="1"/>
  </cols>
  <sheetData>
    <row r="1" spans="1:10" ht="15">
      <c r="A1" s="143" t="s">
        <v>93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5">
      <c r="A2" s="143" t="s">
        <v>103</v>
      </c>
      <c r="B2" s="143"/>
      <c r="C2" s="143"/>
      <c r="D2" s="143"/>
      <c r="E2" s="143"/>
      <c r="F2" s="143"/>
      <c r="G2" s="143"/>
      <c r="H2" s="143"/>
      <c r="I2" s="143"/>
      <c r="J2" s="143"/>
    </row>
    <row r="4" spans="1:10" ht="39" thickBot="1">
      <c r="A4" s="89" t="s">
        <v>83</v>
      </c>
      <c r="B4" s="90" t="s">
        <v>84</v>
      </c>
      <c r="C4" s="91"/>
      <c r="D4" s="90" t="s">
        <v>12</v>
      </c>
      <c r="E4" s="91"/>
      <c r="F4" s="90" t="s">
        <v>10</v>
      </c>
      <c r="G4" s="91"/>
      <c r="H4" s="90" t="s">
        <v>85</v>
      </c>
      <c r="I4" s="91"/>
      <c r="J4" s="90" t="s">
        <v>86</v>
      </c>
    </row>
    <row r="5" spans="1:10" ht="15">
      <c r="A5" s="76" t="s">
        <v>91</v>
      </c>
      <c r="B5" s="92">
        <v>300000</v>
      </c>
      <c r="C5" s="93"/>
      <c r="D5" s="92">
        <v>9391994</v>
      </c>
      <c r="E5" s="92"/>
      <c r="F5" s="92">
        <v>182606</v>
      </c>
      <c r="G5" s="93"/>
      <c r="H5" s="92">
        <v>235108</v>
      </c>
      <c r="I5" s="93"/>
      <c r="J5" s="4">
        <f>SUM(B5:I5)</f>
        <v>10109708</v>
      </c>
    </row>
    <row r="6" spans="1:10" ht="25.5">
      <c r="A6" s="60" t="s">
        <v>87</v>
      </c>
      <c r="B6" s="94" t="s">
        <v>88</v>
      </c>
      <c r="C6" s="94"/>
      <c r="D6" s="94" t="s">
        <v>88</v>
      </c>
      <c r="E6" s="94"/>
      <c r="F6" s="94" t="s">
        <v>88</v>
      </c>
      <c r="G6" s="94"/>
      <c r="H6" s="9">
        <v>1481718</v>
      </c>
      <c r="I6" s="3"/>
      <c r="J6" s="1">
        <f>SUM(B6:I6)</f>
        <v>1481718</v>
      </c>
    </row>
    <row r="7" spans="1:10" ht="15">
      <c r="A7" s="60" t="s">
        <v>89</v>
      </c>
      <c r="B7" s="94"/>
      <c r="C7" s="94"/>
      <c r="D7" s="94"/>
      <c r="E7" s="94"/>
      <c r="F7" s="94"/>
      <c r="G7" s="94"/>
      <c r="H7" s="1"/>
      <c r="I7" s="3"/>
      <c r="J7" s="1">
        <f>SUM(B7:I7)</f>
        <v>0</v>
      </c>
    </row>
    <row r="8" spans="1:10" ht="25.5">
      <c r="A8" s="60" t="s">
        <v>90</v>
      </c>
      <c r="B8" s="95" t="s">
        <v>88</v>
      </c>
      <c r="C8" s="94"/>
      <c r="D8" s="96">
        <v>1070121</v>
      </c>
      <c r="E8" s="94"/>
      <c r="F8" s="95" t="s">
        <v>88</v>
      </c>
      <c r="G8" s="95"/>
      <c r="H8" s="1">
        <v>-1070121</v>
      </c>
      <c r="I8" s="95"/>
      <c r="J8" s="1">
        <f>SUM(B8:I8)</f>
        <v>0</v>
      </c>
    </row>
    <row r="9" spans="1:10" ht="15.75" thickBot="1">
      <c r="A9" s="76" t="s">
        <v>96</v>
      </c>
      <c r="B9" s="97">
        <f>SUM(B5:B8)</f>
        <v>300000</v>
      </c>
      <c r="C9" s="3"/>
      <c r="D9" s="97">
        <f>SUM(D5:D8)</f>
        <v>10462115</v>
      </c>
      <c r="E9" s="97"/>
      <c r="F9" s="97">
        <f>SUM(F5:F8)</f>
        <v>182606</v>
      </c>
      <c r="G9" s="97"/>
      <c r="H9" s="97">
        <f>SUM(H5:H8)</f>
        <v>646705</v>
      </c>
      <c r="I9" s="97"/>
      <c r="J9" s="97">
        <f>SUM(J5:J8)</f>
        <v>11591426</v>
      </c>
    </row>
    <row r="10" spans="1:10" ht="15.75" thickTop="1">
      <c r="A10" s="60"/>
      <c r="B10" s="3"/>
      <c r="C10" s="3"/>
      <c r="D10" s="3"/>
      <c r="E10" s="3"/>
      <c r="F10" s="3"/>
      <c r="G10" s="3"/>
      <c r="H10" s="3"/>
      <c r="I10" s="3"/>
      <c r="J10" s="3"/>
    </row>
    <row r="11" spans="1:10" s="98" customFormat="1" ht="15">
      <c r="A11" s="76" t="s">
        <v>104</v>
      </c>
      <c r="B11" s="92">
        <v>300000</v>
      </c>
      <c r="C11" s="93"/>
      <c r="D11" s="92">
        <f>D9</f>
        <v>10462115</v>
      </c>
      <c r="E11" s="92"/>
      <c r="F11" s="92">
        <f>F9</f>
        <v>182606</v>
      </c>
      <c r="G11" s="92"/>
      <c r="H11" s="92">
        <f>H9</f>
        <v>646705</v>
      </c>
      <c r="I11" s="93"/>
      <c r="J11" s="4">
        <f>SUM(B11:I11)</f>
        <v>11591426</v>
      </c>
    </row>
    <row r="12" spans="1:10" ht="25.5">
      <c r="A12" s="60" t="s">
        <v>48</v>
      </c>
      <c r="B12" s="3" t="s">
        <v>88</v>
      </c>
      <c r="C12" s="3"/>
      <c r="D12" s="3" t="s">
        <v>88</v>
      </c>
      <c r="E12" s="3"/>
      <c r="F12" s="3" t="s">
        <v>88</v>
      </c>
      <c r="G12" s="3"/>
      <c r="H12" s="1">
        <f>ОПУ!C17</f>
        <v>34000</v>
      </c>
      <c r="I12" s="3"/>
      <c r="J12" s="1">
        <f>SUM(B12:I12)</f>
        <v>34000</v>
      </c>
    </row>
    <row r="13" spans="1:10" ht="15">
      <c r="A13" s="60" t="s">
        <v>92</v>
      </c>
      <c r="B13" s="99"/>
      <c r="C13" s="99"/>
      <c r="D13" s="100"/>
      <c r="E13" s="99"/>
      <c r="F13" s="99"/>
      <c r="G13" s="99"/>
      <c r="H13" s="1"/>
      <c r="I13" s="99"/>
      <c r="J13" s="1">
        <f>SUM(B13:I13)</f>
        <v>0</v>
      </c>
    </row>
    <row r="14" spans="1:10" ht="15.75" thickBot="1">
      <c r="A14" s="76" t="s">
        <v>105</v>
      </c>
      <c r="B14" s="101">
        <f>SUM(B11:B13)</f>
        <v>300000</v>
      </c>
      <c r="C14" s="3"/>
      <c r="D14" s="97">
        <f>SUM(D11:D13)</f>
        <v>10462115</v>
      </c>
      <c r="E14" s="102"/>
      <c r="F14" s="97">
        <f>SUM(F11:F13)</f>
        <v>182606</v>
      </c>
      <c r="G14" s="102"/>
      <c r="H14" s="101">
        <f>SUM(H11:H13)</f>
        <v>680705</v>
      </c>
      <c r="I14" s="102"/>
      <c r="J14" s="97">
        <f>SUM(J11:J13)</f>
        <v>11625426</v>
      </c>
    </row>
    <row r="15" ht="15.75" thickTop="1"/>
    <row r="17" ht="15">
      <c r="D17" s="103"/>
    </row>
    <row r="20" ht="15">
      <c r="E20" s="1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2022-05-14T15:41:56Z</cp:lastPrinted>
  <dcterms:created xsi:type="dcterms:W3CDTF">2010-04-07T05:06:39Z</dcterms:created>
  <dcterms:modified xsi:type="dcterms:W3CDTF">2022-05-16T04:54:04Z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