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0"/>
  </bookViews>
  <sheets>
    <sheet name="ОПУ" sheetId="1" r:id="rId1"/>
    <sheet name="Баланс" sheetId="2" r:id="rId2"/>
    <sheet name="деньги" sheetId="3" r:id="rId3"/>
    <sheet name="капитал" sheetId="4" r:id="rId4"/>
  </sheets>
  <definedNames>
    <definedName name="_Hlk222634923" localSheetId="1">'Баланс'!$A$41</definedName>
    <definedName name="_Hlk239143240" localSheetId="1">'Баланс'!$A$4</definedName>
    <definedName name="_xlnm.Print_Area" localSheetId="1">'Баланс'!$A$1:$F$49</definedName>
    <definedName name="_xlnm.Print_Area" localSheetId="2">'деньги'!$A$1:$E$37</definedName>
    <definedName name="_xlnm.Print_Area" localSheetId="0">'ОПУ'!$A$1:$E$24</definedName>
  </definedNames>
  <calcPr fullCalcOnLoad="1"/>
</workbook>
</file>

<file path=xl/sharedStrings.xml><?xml version="1.0" encoding="utf-8"?>
<sst xmlns="http://schemas.openxmlformats.org/spreadsheetml/2006/main" count="132" uniqueCount="112">
  <si>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</si>
  <si>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</si>
  <si>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</si>
  <si>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</si>
  <si>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</si>
  <si>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</si>
  <si>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</si>
  <si>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</si>
  <si>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</si>
  <si>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</si>
  <si>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</si>
  <si>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</si>
  <si>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</si>
  <si>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</si>
  <si>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</si>
  <si>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</si>
  <si>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</si>
  <si>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</si>
  <si>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</si>
  <si>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</si>
  <si>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</si>
  <si>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</si>
  <si>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</si>
  <si>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</si>
  <si>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</si>
  <si>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</si>
  <si>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</si>
  <si>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</si>
  <si>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</si>
  <si>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</si>
  <si>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</si>
  <si>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</si>
  <si>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</si>
  <si>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</si>
  <si>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</si>
  <si>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</si>
  <si>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</si>
  <si>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</si>
  <si>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</si>
  <si>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</si>
  <si>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</si>
  <si>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</si>
  <si>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</si>
  <si>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</si>
  <si>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</si>
  <si>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</si>
  <si>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</si>
  <si>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</si>
  <si>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</si>
  <si>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</si>
  <si>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</si>
  <si>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</si>
  <si>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</si>
  <si>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</si>
  <si>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</si>
  <si>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</si>
  <si>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</si>
  <si>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</si>
  <si>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</si>
  <si>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</si>
  <si>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</si>
  <si>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</si>
  <si>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</si>
  <si>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</si>
  <si>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Финансовые доходы</t>
  </si>
  <si>
    <t>Финансовые расходы</t>
  </si>
  <si>
    <t>Чистые финансовые расходы</t>
  </si>
  <si>
    <t>Приме-чание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</si>
  <si>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</si>
  <si>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</si>
  <si>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</si>
  <si>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</si>
  <si>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</si>
  <si>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</si>
  <si>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</si>
  <si>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</si>
  <si>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</si>
  <si>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</si>
  <si>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</si>
  <si>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</si>
  <si>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</si>
  <si>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</si>
  <si>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</si>
  <si>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Перевод в прочие резервы (Примечание 16)</t>
  </si>
  <si>
    <t>Выплата дивидендов</t>
  </si>
  <si>
    <t xml:space="preserve">Перевод в прочие резервы </t>
  </si>
  <si>
    <t>Дивиденды акционерам</t>
  </si>
  <si>
    <t>Прочие активы</t>
  </si>
  <si>
    <t>Получение заемных средств</t>
  </si>
  <si>
    <t>Выкуп собственных облигаций</t>
  </si>
  <si>
    <t>Активы, предназначенные для продажи</t>
  </si>
  <si>
    <t>Председатель Правления                  Ибрагимов К.Б.                          _____________________</t>
  </si>
  <si>
    <t xml:space="preserve">                                                                                                                               (подпись)</t>
  </si>
  <si>
    <t>Главный бухгалтер                            Бабибаева С.С.                           _____________________</t>
  </si>
  <si>
    <t>Место печати</t>
  </si>
  <si>
    <t>Остаток на 1 января 2018г.</t>
  </si>
  <si>
    <t>Остаток на 31 декабря 2018г.</t>
  </si>
  <si>
    <t>Активы по договорам</t>
  </si>
  <si>
    <t xml:space="preserve"> </t>
  </si>
  <si>
    <t>Остаток на 1 января 2019г.</t>
  </si>
  <si>
    <t>Корректировка при первоначальном применении МСФО (IFRS) 9</t>
  </si>
  <si>
    <t>Скорректированный остаток на 1 января 2018 года</t>
  </si>
  <si>
    <t>Отчет о  прибыли и убытке  и прочем совокупном  доходе за период, закончившийся "30" июня 2019 года</t>
  </si>
  <si>
    <t xml:space="preserve"> 30.06.2019г.</t>
  </si>
  <si>
    <t xml:space="preserve"> 30.06.2018г.</t>
  </si>
  <si>
    <t>по состоянию  на "30" июня 2019 года</t>
  </si>
  <si>
    <t>за период, закончившийся  "30" июня 2019 года</t>
  </si>
  <si>
    <t>за период, закончившийся "30" июня  2019 года</t>
  </si>
  <si>
    <t>Остаток на 30 июня 2019г.</t>
  </si>
  <si>
    <t>30.06.2019 г.</t>
  </si>
  <si>
    <t>30.06.2018 г.</t>
  </si>
  <si>
    <t>Балансовая стоимость  1 простой акции  на 30 июня 2019г.  (-146,790) тенге.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</si>
</sst>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  <numFmt numFmtId="193" formatCode="#,##0.000"/>
    <numFmt numFmtId="194" formatCode="0.0%"/>
    <numFmt numFmtId="195" formatCode="#,##0_ ;[Red]\-#,##0\ "/>
    <numFmt numFmtId="196" formatCode="0.0000"/>
    <numFmt numFmtId="197" formatCode="0.0000000"/>
    <numFmt numFmtId="198" formatCode="0.000000"/>
    <numFmt numFmtId="199" formatCode="_(* #,##0_);_(* \(#,##0\);_(* &quot;-&quot;??_);_(@_)"/>
    <numFmt numFmtId="200" formatCode="_(* #,##0.0_);_(* \(#,##0.0\);_(* &quot;-&quot;??_);_(@_)"/>
    <numFmt numFmtId="201" formatCode="_(* #,##0.00_);_(* \(#,##0.00\);_(* &quot;-&quot;??_);_(@_)"/>
    <numFmt numFmtId="202" formatCode="#,##0_);\(#,##0\);\-_);@"/>
    <numFmt numFmtId="203" formatCode="_ * #,##0_)_р_._ ;_ * \(#,##0\)_р_._ ;_ * &quot;-&quot;??_)_р_._ ;_ @_ "/>
    <numFmt numFmtId="204" formatCode="_-* #,##0.000_р_._-;\-* #,##0.000_р_._-;_-* &quot;-&quot;??_р_._-;_-@_-"/>
    <numFmt numFmtId="205" formatCode="_-* #,##0_р_._-;\-* #,##0_р_._-;_-* &quot;-&quot;??_р_._-;_-@_-"/>
    <numFmt numFmtId="206" formatCode="_-* #,##0.00_-;\-* #,##0.00_-;_-* &quot;-&quot;??_-;_-@_-"/>
    <numFmt numFmtId="207" formatCode="mmm/yyyy"/>
    <numFmt numFmtId="208" formatCode="_-* #,##0.0\ _р_._-;\-* #,##0.0\ _р_._-;_-* &quot;-&quot;?\ 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3" fontId="55" fillId="0" borderId="0" xfId="0" applyNumberFormat="1" applyFont="1" applyBorder="1" applyAlignment="1">
      <alignment horizontal="right" vertical="center"/>
    </xf>
    <xf numFmtId="186" fontId="5" fillId="33" borderId="0" xfId="58" applyNumberFormat="1" applyFont="1" applyFill="1" applyBorder="1" applyAlignment="1">
      <alignment horizontal="right" vertical="center" wrapText="1"/>
      <protection/>
    </xf>
    <xf numFmtId="186" fontId="5" fillId="33" borderId="10" xfId="58" applyNumberFormat="1" applyFont="1" applyFill="1" applyBorder="1" applyAlignment="1">
      <alignment horizontal="righ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186" fontId="6" fillId="33" borderId="0" xfId="58" applyNumberFormat="1" applyFont="1" applyFill="1" applyBorder="1" applyAlignment="1">
      <alignment horizontal="right" vertical="center" wrapText="1"/>
      <protection/>
    </xf>
    <xf numFmtId="3" fontId="54" fillId="0" borderId="0" xfId="0" applyNumberFormat="1" applyFont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6" fillId="33" borderId="0" xfId="58" applyFont="1" applyFill="1" applyAlignment="1">
      <alignment horizontal="center"/>
      <protection/>
    </xf>
    <xf numFmtId="3" fontId="59" fillId="0" borderId="0" xfId="0" applyNumberFormat="1" applyFont="1" applyBorder="1" applyAlignment="1">
      <alignment horizontal="right" vertical="center"/>
    </xf>
    <xf numFmtId="186" fontId="6" fillId="33" borderId="10" xfId="58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192" fontId="56" fillId="33" borderId="0" xfId="0" applyNumberFormat="1" applyFont="1" applyFill="1" applyAlignment="1">
      <alignment vertical="center" wrapText="1"/>
    </xf>
    <xf numFmtId="192" fontId="55" fillId="33" borderId="0" xfId="0" applyNumberFormat="1" applyFont="1" applyFill="1" applyAlignment="1">
      <alignment vertical="center" wrapText="1"/>
    </xf>
    <xf numFmtId="3" fontId="55" fillId="33" borderId="0" xfId="0" applyNumberFormat="1" applyFont="1" applyFill="1" applyAlignment="1">
      <alignment horizontal="right" vertical="center" wrapText="1"/>
    </xf>
    <xf numFmtId="0" fontId="7" fillId="33" borderId="0" xfId="46" applyFont="1" applyFill="1" applyAlignment="1" applyProtection="1">
      <alignment horizontal="center" vertical="center" wrapText="1"/>
      <protection/>
    </xf>
    <xf numFmtId="3" fontId="56" fillId="33" borderId="11" xfId="0" applyNumberFormat="1" applyFont="1" applyFill="1" applyBorder="1" applyAlignment="1">
      <alignment horizontal="right" vertical="center" wrapText="1"/>
    </xf>
    <xf numFmtId="3" fontId="56" fillId="33" borderId="12" xfId="0" applyNumberFormat="1" applyFont="1" applyFill="1" applyBorder="1" applyAlignment="1">
      <alignment horizontal="right" vertical="center" wrapText="1"/>
    </xf>
    <xf numFmtId="0" fontId="60" fillId="33" borderId="0" xfId="0" applyFont="1" applyFill="1" applyAlignment="1">
      <alignment vertical="center" wrapText="1"/>
    </xf>
    <xf numFmtId="0" fontId="54" fillId="33" borderId="0" xfId="0" applyFont="1" applyFill="1" applyAlignment="1">
      <alignment vertical="center" wrapText="1"/>
    </xf>
    <xf numFmtId="192" fontId="55" fillId="33" borderId="0" xfId="0" applyNumberFormat="1" applyFont="1" applyFill="1" applyAlignment="1">
      <alignment horizontal="right" vertical="center" wrapText="1"/>
    </xf>
    <xf numFmtId="192" fontId="60" fillId="33" borderId="0" xfId="0" applyNumberFormat="1" applyFont="1" applyFill="1" applyAlignment="1">
      <alignment vertical="center" wrapText="1"/>
    </xf>
    <xf numFmtId="3" fontId="56" fillId="33" borderId="13" xfId="0" applyNumberFormat="1" applyFont="1" applyFill="1" applyBorder="1" applyAlignment="1">
      <alignment horizontal="right" vertical="center" wrapText="1"/>
    </xf>
    <xf numFmtId="192" fontId="0" fillId="33" borderId="0" xfId="0" applyNumberFormat="1" applyFill="1" applyAlignment="1">
      <alignment horizontal="right"/>
    </xf>
    <xf numFmtId="192" fontId="0" fillId="33" borderId="0" xfId="0" applyNumberFormat="1" applyFill="1" applyAlignment="1">
      <alignment/>
    </xf>
    <xf numFmtId="0" fontId="56" fillId="33" borderId="0" xfId="0" applyFont="1" applyFill="1" applyAlignment="1">
      <alignment vertical="center"/>
    </xf>
    <xf numFmtId="186" fontId="6" fillId="33" borderId="12" xfId="58" applyNumberFormat="1" applyFont="1" applyFill="1" applyBorder="1" applyAlignment="1">
      <alignment horizontal="right" vertical="center" wrapText="1"/>
      <protection/>
    </xf>
    <xf numFmtId="0" fontId="56" fillId="33" borderId="0" xfId="0" applyFont="1" applyFill="1" applyAlignment="1">
      <alignment horizontal="right" vertical="center"/>
    </xf>
    <xf numFmtId="3" fontId="56" fillId="33" borderId="0" xfId="0" applyNumberFormat="1" applyFont="1" applyFill="1" applyAlignment="1">
      <alignment horizontal="right" vertical="center"/>
    </xf>
    <xf numFmtId="0" fontId="56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right" vertical="center"/>
    </xf>
    <xf numFmtId="3" fontId="55" fillId="33" borderId="0" xfId="0" applyNumberFormat="1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55" fillId="0" borderId="0" xfId="0" applyFont="1" applyAlignment="1">
      <alignment vertical="center" wrapText="1"/>
    </xf>
    <xf numFmtId="1" fontId="0" fillId="33" borderId="0" xfId="0" applyNumberFormat="1" applyFill="1" applyAlignment="1">
      <alignment horizontal="right"/>
    </xf>
    <xf numFmtId="3" fontId="56" fillId="0" borderId="0" xfId="0" applyNumberFormat="1" applyFont="1" applyAlignment="1">
      <alignment horizontal="right" vertical="center" wrapText="1"/>
    </xf>
    <xf numFmtId="0" fontId="44" fillId="0" borderId="0" xfId="0" applyFont="1" applyAlignment="1">
      <alignment/>
    </xf>
    <xf numFmtId="193" fontId="0" fillId="33" borderId="0" xfId="0" applyNumberFormat="1" applyFill="1" applyAlignment="1">
      <alignment/>
    </xf>
    <xf numFmtId="0" fontId="55" fillId="0" borderId="0" xfId="0" applyFont="1" applyAlignment="1">
      <alignment vertical="center" wrapText="1"/>
    </xf>
    <xf numFmtId="4" fontId="11" fillId="0" borderId="14" xfId="57" applyNumberFormat="1" applyFont="1" applyBorder="1" applyAlignment="1">
      <alignment horizontal="right" vertical="top" wrapText="1"/>
      <protection/>
    </xf>
    <xf numFmtId="4" fontId="12" fillId="0" borderId="14" xfId="60" applyNumberFormat="1" applyFont="1" applyBorder="1" applyAlignment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6" fillId="33" borderId="0" xfId="58" applyFont="1" applyFill="1" applyAlignment="1">
      <alignment horizontal="center"/>
      <protection/>
    </xf>
    <xf numFmtId="192" fontId="56" fillId="33" borderId="0" xfId="0" applyNumberFormat="1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3" borderId="0" xfId="0" applyFont="1" applyFill="1" applyAlignment="1">
      <alignment horizontal="right" vertical="center" wrapText="1"/>
    </xf>
    <xf numFmtId="3" fontId="56" fillId="0" borderId="12" xfId="0" applyNumberFormat="1" applyFont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right" vertical="center" wrapText="1"/>
    </xf>
    <xf numFmtId="3" fontId="55" fillId="33" borderId="0" xfId="0" applyNumberFormat="1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186" fontId="55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86" fontId="6" fillId="33" borderId="10" xfId="58" applyNumberFormat="1" applyFont="1" applyFill="1" applyBorder="1" applyAlignment="1">
      <alignment horizontal="right" vertical="center" wrapText="1"/>
      <protection/>
    </xf>
    <xf numFmtId="0" fontId="56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33" borderId="0" xfId="0" applyFont="1" applyFill="1" applyAlignment="1">
      <alignment vertical="center"/>
    </xf>
    <xf numFmtId="186" fontId="6" fillId="33" borderId="15" xfId="58" applyNumberFormat="1" applyFont="1" applyFill="1" applyBorder="1" applyAlignment="1">
      <alignment vertical="center" wrapText="1"/>
      <protection/>
    </xf>
    <xf numFmtId="186" fontId="6" fillId="33" borderId="0" xfId="58" applyNumberFormat="1" applyFont="1" applyFill="1" applyBorder="1" applyAlignment="1">
      <alignment vertical="center" wrapText="1"/>
      <protection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3" fontId="0" fillId="33" borderId="0" xfId="0" applyNumberFormat="1" applyFill="1" applyAlignment="1">
      <alignment/>
    </xf>
    <xf numFmtId="0" fontId="61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3" fontId="7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3" fontId="6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3" fontId="55" fillId="0" borderId="0" xfId="0" applyNumberFormat="1" applyFont="1" applyFill="1" applyAlignment="1">
      <alignment horizontal="right" vertical="center" wrapText="1"/>
    </xf>
    <xf numFmtId="192" fontId="56" fillId="33" borderId="0" xfId="0" applyNumberFormat="1" applyFont="1" applyFill="1" applyAlignment="1">
      <alignment vertical="center" wrapText="1"/>
    </xf>
    <xf numFmtId="3" fontId="56" fillId="33" borderId="0" xfId="0" applyNumberFormat="1" applyFont="1" applyFill="1" applyAlignment="1">
      <alignment horizontal="right" vertical="center" wrapText="1"/>
    </xf>
    <xf numFmtId="4" fontId="44" fillId="0" borderId="0" xfId="0" applyNumberFormat="1" applyFont="1" applyAlignment="1">
      <alignment/>
    </xf>
    <xf numFmtId="0" fontId="60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3" fontId="62" fillId="0" borderId="16" xfId="0" applyNumberFormat="1" applyFont="1" applyBorder="1" applyAlignment="1">
      <alignment horizontal="right" vertical="center" wrapText="1"/>
    </xf>
    <xf numFmtId="3" fontId="56" fillId="0" borderId="16" xfId="0" applyNumberFormat="1" applyFont="1" applyBorder="1" applyAlignment="1">
      <alignment horizontal="right" vertical="center" wrapText="1"/>
    </xf>
    <xf numFmtId="186" fontId="5" fillId="33" borderId="16" xfId="58" applyNumberFormat="1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vertical="center" wrapText="1"/>
    </xf>
    <xf numFmtId="199" fontId="59" fillId="0" borderId="0" xfId="33" applyNumberFormat="1" applyFont="1" applyFill="1">
      <alignment/>
      <protection/>
    </xf>
    <xf numFmtId="3" fontId="55" fillId="33" borderId="0" xfId="0" applyNumberFormat="1" applyFont="1" applyFill="1" applyBorder="1" applyAlignment="1">
      <alignment horizontal="right" vertical="center"/>
    </xf>
    <xf numFmtId="3" fontId="54" fillId="33" borderId="17" xfId="0" applyNumberFormat="1" applyFont="1" applyFill="1" applyBorder="1" applyAlignment="1">
      <alignment vertical="center" wrapText="1"/>
    </xf>
    <xf numFmtId="3" fontId="54" fillId="0" borderId="17" xfId="0" applyNumberFormat="1" applyFont="1" applyBorder="1" applyAlignment="1">
      <alignment vertical="center" wrapText="1"/>
    </xf>
    <xf numFmtId="186" fontId="5" fillId="33" borderId="13" xfId="58" applyNumberFormat="1" applyFont="1" applyFill="1" applyBorder="1" applyAlignment="1">
      <alignment horizontal="right" vertical="center" wrapText="1"/>
      <protection/>
    </xf>
    <xf numFmtId="3" fontId="55" fillId="33" borderId="13" xfId="0" applyNumberFormat="1" applyFont="1" applyFill="1" applyBorder="1" applyAlignment="1">
      <alignment horizontal="right" vertical="center"/>
    </xf>
    <xf numFmtId="3" fontId="55" fillId="0" borderId="13" xfId="0" applyNumberFormat="1" applyFont="1" applyBorder="1" applyAlignment="1">
      <alignment horizontal="right" vertical="center"/>
    </xf>
    <xf numFmtId="186" fontId="6" fillId="33" borderId="11" xfId="58" applyNumberFormat="1" applyFont="1" applyFill="1" applyBorder="1" applyAlignment="1">
      <alignment horizontal="right" vertical="center" wrapText="1"/>
      <protection/>
    </xf>
    <xf numFmtId="186" fontId="6" fillId="33" borderId="18" xfId="58" applyNumberFormat="1" applyFont="1" applyFill="1" applyBorder="1" applyAlignment="1">
      <alignment horizontal="right" vertical="center" wrapText="1"/>
      <protection/>
    </xf>
    <xf numFmtId="186" fontId="6" fillId="33" borderId="19" xfId="58" applyNumberFormat="1" applyFont="1" applyFill="1" applyBorder="1" applyAlignment="1">
      <alignment horizontal="right" vertical="center" wrapText="1"/>
      <protection/>
    </xf>
    <xf numFmtId="4" fontId="12" fillId="33" borderId="14" xfId="60" applyNumberFormat="1" applyFont="1" applyFill="1" applyBorder="1" applyAlignment="1">
      <alignment horizontal="right" vertical="top" wrapText="1"/>
      <protection/>
    </xf>
    <xf numFmtId="199" fontId="0" fillId="0" borderId="0" xfId="0" applyNumberFormat="1" applyAlignment="1">
      <alignment/>
    </xf>
    <xf numFmtId="0" fontId="55" fillId="33" borderId="0" xfId="0" applyFont="1" applyFill="1" applyAlignment="1">
      <alignment vertical="center" wrapText="1"/>
    </xf>
    <xf numFmtId="3" fontId="10" fillId="0" borderId="14" xfId="60" applyNumberFormat="1" applyFont="1" applyBorder="1" applyAlignment="1">
      <alignment horizontal="right" vertical="top" wrapText="1"/>
      <protection/>
    </xf>
    <xf numFmtId="3" fontId="10" fillId="0" borderId="14" xfId="60" applyNumberFormat="1" applyFont="1" applyBorder="1" applyAlignment="1">
      <alignment horizontal="right" vertical="center" wrapText="1"/>
      <protection/>
    </xf>
    <xf numFmtId="205" fontId="0" fillId="33" borderId="0" xfId="68" applyNumberFormat="1" applyFont="1" applyFill="1" applyAlignment="1">
      <alignment/>
    </xf>
    <xf numFmtId="3" fontId="44" fillId="33" borderId="0" xfId="0" applyNumberFormat="1" applyFont="1" applyFill="1" applyBorder="1" applyAlignment="1">
      <alignment/>
    </xf>
    <xf numFmtId="0" fontId="6" fillId="33" borderId="0" xfId="58" applyFont="1" applyFill="1" applyAlignment="1">
      <alignment horizontal="center"/>
      <protection/>
    </xf>
    <xf numFmtId="0" fontId="56" fillId="33" borderId="0" xfId="0" applyFont="1" applyFill="1" applyAlignment="1">
      <alignment vertical="center" wrapText="1"/>
    </xf>
    <xf numFmtId="192" fontId="56" fillId="33" borderId="0" xfId="0" applyNumberFormat="1" applyFont="1" applyFill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" fillId="33" borderId="0" xfId="58" applyFont="1" applyFill="1" applyAlignment="1">
      <alignment horizontal="center"/>
      <protection/>
    </xf>
    <xf numFmtId="0" fontId="56" fillId="33" borderId="0" xfId="0" applyFont="1" applyFill="1" applyAlignment="1">
      <alignment vertical="center" wrapText="1"/>
    </xf>
    <xf numFmtId="0" fontId="56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vertical="center" wrapText="1"/>
    </xf>
    <xf numFmtId="192" fontId="56" fillId="33" borderId="20" xfId="0" applyNumberFormat="1" applyFont="1" applyFill="1" applyBorder="1" applyAlignment="1">
      <alignment horizontal="right" vertical="center" wrapText="1"/>
    </xf>
    <xf numFmtId="192" fontId="56" fillId="33" borderId="0" xfId="0" applyNumberFormat="1" applyFont="1" applyFill="1" applyAlignment="1">
      <alignment horizontal="right" vertical="center" wrapText="1"/>
    </xf>
    <xf numFmtId="192" fontId="56" fillId="33" borderId="0" xfId="0" applyNumberFormat="1" applyFont="1" applyFill="1" applyAlignment="1">
      <alignment vertical="center" wrapText="1"/>
    </xf>
    <xf numFmtId="192" fontId="56" fillId="33" borderId="20" xfId="0" applyNumberFormat="1" applyFont="1" applyFill="1" applyBorder="1" applyAlignment="1">
      <alignment vertical="center" wrapText="1"/>
    </xf>
    <xf numFmtId="0" fontId="9" fillId="33" borderId="0" xfId="59" applyFont="1" applyFill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3 2 2 2 2" xfId="33"/>
    <cellStyle name="Normal 7" xfId="34"/>
    <cellStyle name="Normal 7 2 2 2" xfId="35"/>
    <cellStyle name="Normal 7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Баланс" xfId="57"/>
    <cellStyle name="Обычный_Лист1" xfId="58"/>
    <cellStyle name="Обычный_Лист3" xfId="59"/>
    <cellStyle name="Обычный_ОПУ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tabSelected="1" zoomScalePageLayoutView="0" workbookViewId="0" topLeftCell="A1">
      <selection activeCell="C5" sqref="C5:C9"/>
    </sheetView>
  </sheetViews>
  <sheetFormatPr defaultColWidth="9.140625" defaultRowHeight="15"/>
  <cols>
    <col min="1" max="1" width="35.00390625" style="0" customWidth="1"/>
    <col min="3" max="3" width="14.57421875" style="26" customWidth="1"/>
    <col min="4" max="4" width="10.140625" style="0" bestFit="1" customWidth="1"/>
    <col min="5" max="5" width="14.00390625" style="0" customWidth="1"/>
    <col min="7" max="7" width="10.421875" style="0" customWidth="1"/>
    <col min="8" max="8" width="20.8515625" style="0" customWidth="1"/>
    <col min="10" max="10" width="16.421875" style="0" customWidth="1"/>
    <col min="12" max="12" width="15.421875" style="0" bestFit="1" customWidth="1"/>
    <col min="13" max="13" width="14.421875" style="0" customWidth="1"/>
    <col min="14" max="14" width="7.7109375" style="0" customWidth="1"/>
  </cols>
  <sheetData>
    <row r="1" spans="1:5" ht="38.25" customHeight="1">
      <c r="A1" s="137" t="s">
        <v>102</v>
      </c>
      <c r="B1" s="137"/>
      <c r="C1" s="137"/>
      <c r="D1" s="137"/>
      <c r="E1" s="137"/>
    </row>
    <row r="2" spans="1:8" ht="25.5" customHeight="1">
      <c r="A2" s="137"/>
      <c r="B2" s="137"/>
      <c r="C2" s="137"/>
      <c r="D2" s="137"/>
      <c r="E2" s="137"/>
      <c r="H2" s="64"/>
    </row>
    <row r="3" spans="1:5" ht="15">
      <c r="A3" s="7"/>
      <c r="B3" s="136" t="s">
        <v>67</v>
      </c>
      <c r="C3" s="101" t="s">
        <v>103</v>
      </c>
      <c r="D3" s="50"/>
      <c r="E3" s="50" t="s">
        <v>104</v>
      </c>
    </row>
    <row r="4" spans="1:5" ht="15.75" thickBot="1">
      <c r="A4" s="10"/>
      <c r="B4" s="136"/>
      <c r="C4" s="89" t="s">
        <v>0</v>
      </c>
      <c r="D4" s="78"/>
      <c r="E4" s="14" t="s">
        <v>0</v>
      </c>
    </row>
    <row r="5" spans="1:10" ht="15">
      <c r="A5" s="17" t="s">
        <v>78</v>
      </c>
      <c r="B5" s="9">
        <v>3</v>
      </c>
      <c r="C5" s="116">
        <f>4236126+1039521</f>
        <v>5275647</v>
      </c>
      <c r="D5" s="11"/>
      <c r="E5" s="11">
        <v>3987689</v>
      </c>
      <c r="G5" s="24"/>
      <c r="H5" s="66"/>
      <c r="J5" s="66"/>
    </row>
    <row r="6" spans="1:13" ht="15">
      <c r="A6" s="17" t="s">
        <v>68</v>
      </c>
      <c r="B6" s="9">
        <v>4</v>
      </c>
      <c r="C6" s="12">
        <f>-2729297-47878+25</f>
        <v>-2777150</v>
      </c>
      <c r="D6" s="114"/>
      <c r="E6" s="12">
        <v>-1445973</v>
      </c>
      <c r="H6" s="64"/>
      <c r="J6" s="66"/>
      <c r="L6" s="125"/>
      <c r="M6" s="115"/>
    </row>
    <row r="7" spans="1:13" ht="15">
      <c r="A7" s="18" t="s">
        <v>69</v>
      </c>
      <c r="B7" s="9"/>
      <c r="C7" s="117">
        <f>SUM(C5:C6)</f>
        <v>2498497</v>
      </c>
      <c r="D7" s="114"/>
      <c r="E7" s="118">
        <f>SUM(E5:E6)</f>
        <v>2541716</v>
      </c>
      <c r="H7" s="128"/>
      <c r="J7" s="66"/>
      <c r="M7" s="115"/>
    </row>
    <row r="8" spans="1:13" ht="15">
      <c r="A8" s="17" t="s">
        <v>1</v>
      </c>
      <c r="B8" s="9">
        <v>5</v>
      </c>
      <c r="C8" s="119">
        <f>-113523-209984+47878+954+15+71-1-25</f>
        <v>-274615</v>
      </c>
      <c r="D8" s="12"/>
      <c r="E8" s="119">
        <v>-174982</v>
      </c>
      <c r="H8" s="64"/>
      <c r="J8" s="64"/>
      <c r="M8" s="126"/>
    </row>
    <row r="9" spans="1:10" ht="15">
      <c r="A9" s="17" t="s">
        <v>70</v>
      </c>
      <c r="B9" s="9">
        <v>6</v>
      </c>
      <c r="C9" s="12">
        <f>873-954-71</f>
        <v>-152</v>
      </c>
      <c r="D9" s="109"/>
      <c r="E9" s="12">
        <v>-6918</v>
      </c>
      <c r="H9" s="64"/>
      <c r="J9" s="64"/>
    </row>
    <row r="10" spans="1:13" ht="28.5">
      <c r="A10" s="18" t="s">
        <v>71</v>
      </c>
      <c r="B10" s="9"/>
      <c r="C10" s="117">
        <f>SUM(C7:C9)</f>
        <v>2223730</v>
      </c>
      <c r="D10" s="7"/>
      <c r="E10" s="118">
        <f>SUM(E7:E9)</f>
        <v>2359816</v>
      </c>
      <c r="H10" s="129"/>
      <c r="J10" s="64"/>
      <c r="M10" s="66"/>
    </row>
    <row r="11" spans="1:13" ht="15">
      <c r="A11" s="17" t="s">
        <v>64</v>
      </c>
      <c r="B11" s="9">
        <v>7</v>
      </c>
      <c r="C11" s="120">
        <f>392622</f>
        <v>392622</v>
      </c>
      <c r="D11" s="11"/>
      <c r="E11" s="121">
        <v>308888</v>
      </c>
      <c r="H11" s="64"/>
      <c r="J11" s="65"/>
      <c r="M11" s="66"/>
    </row>
    <row r="12" spans="1:13" ht="15">
      <c r="A12" s="17" t="s">
        <v>65</v>
      </c>
      <c r="B12" s="9">
        <v>7</v>
      </c>
      <c r="C12" s="12">
        <f>-651611-15</f>
        <v>-651626</v>
      </c>
      <c r="D12" s="114"/>
      <c r="E12" s="12">
        <v>-846734</v>
      </c>
      <c r="H12" s="64"/>
      <c r="M12" s="66"/>
    </row>
    <row r="13" spans="1:8" ht="15.75" thickBot="1">
      <c r="A13" s="18" t="s">
        <v>66</v>
      </c>
      <c r="B13" s="9"/>
      <c r="C13" s="122">
        <f>SUM(C11:C12)</f>
        <v>-259004</v>
      </c>
      <c r="D13" s="20"/>
      <c r="E13" s="122">
        <f>SUM(E11:E12)</f>
        <v>-537846</v>
      </c>
      <c r="H13" s="108"/>
    </row>
    <row r="14" spans="1:8" ht="15">
      <c r="A14" s="18" t="s">
        <v>72</v>
      </c>
      <c r="B14" s="9"/>
      <c r="C14" s="123">
        <f>C10+C13</f>
        <v>1964726</v>
      </c>
      <c r="D14" s="19"/>
      <c r="E14" s="19">
        <f>E10+E13</f>
        <v>1821970</v>
      </c>
      <c r="H14" s="65"/>
    </row>
    <row r="15" spans="1:8" ht="15">
      <c r="A15" s="17" t="s">
        <v>73</v>
      </c>
      <c r="B15" s="9"/>
      <c r="C15" s="12">
        <f>-394769-1</f>
        <v>-394770</v>
      </c>
      <c r="D15" s="15"/>
      <c r="E15" s="119"/>
      <c r="G15" s="24"/>
      <c r="H15" s="24"/>
    </row>
    <row r="16" spans="1:8" ht="29.25" thickBot="1">
      <c r="A16" s="18" t="s">
        <v>77</v>
      </c>
      <c r="B16" s="9"/>
      <c r="C16" s="124">
        <f>C14+C15</f>
        <v>1569956</v>
      </c>
      <c r="D16" s="7"/>
      <c r="E16" s="124">
        <f>E14+E15</f>
        <v>1821970</v>
      </c>
      <c r="G16" s="24"/>
      <c r="H16" s="66"/>
    </row>
    <row r="17" spans="1:5" ht="15.75" thickTop="1">
      <c r="A17" s="18"/>
      <c r="B17" s="9"/>
      <c r="C17" s="40"/>
      <c r="D17" s="7"/>
      <c r="E17" s="2"/>
    </row>
    <row r="18" spans="1:5" ht="15">
      <c r="A18" s="18" t="s">
        <v>75</v>
      </c>
      <c r="B18" s="9"/>
      <c r="C18" s="40"/>
      <c r="D18" s="7"/>
      <c r="E18" s="2"/>
    </row>
    <row r="19" spans="1:5" ht="15.75" thickBot="1">
      <c r="A19" s="17" t="s">
        <v>76</v>
      </c>
      <c r="B19" s="9"/>
      <c r="C19" s="77">
        <f>C16/30000*1000</f>
        <v>52331.86666666667</v>
      </c>
      <c r="D19" s="7"/>
      <c r="E19" s="77">
        <f>E16/30000*1000</f>
        <v>60732.333333333336</v>
      </c>
    </row>
    <row r="21" ht="15" hidden="1"/>
    <row r="22" spans="1:5" ht="15.75" hidden="1">
      <c r="A22" s="138" t="s">
        <v>91</v>
      </c>
      <c r="B22" s="138"/>
      <c r="C22" s="138"/>
      <c r="D22" s="138"/>
      <c r="E22" s="138"/>
    </row>
    <row r="23" spans="1:5" ht="15.75" hidden="1">
      <c r="A23" s="135" t="s">
        <v>92</v>
      </c>
      <c r="B23" s="135"/>
      <c r="C23" s="135"/>
      <c r="D23" s="135"/>
      <c r="E23" s="135"/>
    </row>
    <row r="24" ht="15.75">
      <c r="A24" s="88"/>
    </row>
    <row r="25" spans="1:5" ht="15.75">
      <c r="A25" s="138" t="s">
        <v>93</v>
      </c>
      <c r="B25" s="138"/>
      <c r="C25" s="138"/>
      <c r="D25" s="138"/>
      <c r="E25" s="138"/>
    </row>
    <row r="26" spans="1:5" ht="15.75">
      <c r="A26" s="135"/>
      <c r="B26" s="135"/>
      <c r="C26" s="135"/>
      <c r="D26" s="135"/>
      <c r="E26" s="135"/>
    </row>
    <row r="27" ht="15.75" hidden="1">
      <c r="A27" s="88" t="s">
        <v>94</v>
      </c>
    </row>
    <row r="30" ht="15">
      <c r="C30" s="125"/>
    </row>
  </sheetData>
  <sheetProtection/>
  <mergeCells count="7">
    <mergeCell ref="A26:E26"/>
    <mergeCell ref="B3:B4"/>
    <mergeCell ref="A2:E2"/>
    <mergeCell ref="A1:E1"/>
    <mergeCell ref="A22:E22"/>
    <mergeCell ref="A23:E23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2"/>
  <sheetViews>
    <sheetView zoomScalePageLayoutView="0" workbookViewId="0" topLeftCell="A4">
      <selection activeCell="J27" sqref="J27"/>
    </sheetView>
  </sheetViews>
  <sheetFormatPr defaultColWidth="9.140625" defaultRowHeight="15"/>
  <cols>
    <col min="1" max="1" width="29.8515625" style="26" customWidth="1"/>
    <col min="2" max="3" width="9.140625" style="26" customWidth="1"/>
    <col min="4" max="4" width="16.00390625" style="44" customWidth="1"/>
    <col min="5" max="5" width="9.140625" style="45" customWidth="1"/>
    <col min="6" max="6" width="16.57421875" style="45" customWidth="1"/>
    <col min="7" max="7" width="9.140625" style="26" customWidth="1"/>
    <col min="8" max="8" width="21.00390625" style="26" customWidth="1"/>
    <col min="9" max="9" width="9.8515625" style="26" customWidth="1"/>
    <col min="10" max="10" width="10.57421875" style="26" bestFit="1" customWidth="1"/>
    <col min="11" max="11" width="11.421875" style="26" customWidth="1"/>
    <col min="12" max="16384" width="9.140625" style="26" customWidth="1"/>
  </cols>
  <sheetData>
    <row r="1" spans="1:6" ht="15">
      <c r="A1" s="139" t="s">
        <v>10</v>
      </c>
      <c r="B1" s="139"/>
      <c r="C1" s="139"/>
      <c r="D1" s="139"/>
      <c r="E1" s="139"/>
      <c r="F1" s="139"/>
    </row>
    <row r="2" spans="1:6" ht="15">
      <c r="A2" s="139" t="s">
        <v>105</v>
      </c>
      <c r="B2" s="139"/>
      <c r="C2" s="139"/>
      <c r="D2" s="139"/>
      <c r="E2" s="139"/>
      <c r="F2" s="139"/>
    </row>
    <row r="3" spans="1:6" ht="15">
      <c r="A3" s="23"/>
      <c r="B3" s="23"/>
      <c r="C3" s="23"/>
      <c r="D3" s="132"/>
      <c r="E3" s="23"/>
      <c r="F3" s="67"/>
    </row>
    <row r="4" spans="1:7" ht="25.5">
      <c r="A4" s="27"/>
      <c r="B4" s="141" t="s">
        <v>17</v>
      </c>
      <c r="C4" s="28"/>
      <c r="D4" s="29" t="s">
        <v>2</v>
      </c>
      <c r="E4" s="29"/>
      <c r="F4" s="29" t="s">
        <v>3</v>
      </c>
      <c r="G4" s="28"/>
    </row>
    <row r="5" spans="1:7" ht="15.75" thickBot="1">
      <c r="A5" s="30"/>
      <c r="B5" s="141"/>
      <c r="C5" s="28"/>
      <c r="D5" s="31" t="s">
        <v>0</v>
      </c>
      <c r="E5" s="29"/>
      <c r="F5" s="31" t="s">
        <v>0</v>
      </c>
      <c r="G5" s="28"/>
    </row>
    <row r="6" spans="1:7" ht="15">
      <c r="A6" s="27" t="s">
        <v>18</v>
      </c>
      <c r="B6" s="32"/>
      <c r="C6" s="28"/>
      <c r="D6" s="134"/>
      <c r="E6" s="33"/>
      <c r="F6" s="68"/>
      <c r="G6" s="27"/>
    </row>
    <row r="7" spans="1:11" ht="15">
      <c r="A7" s="27" t="s">
        <v>19</v>
      </c>
      <c r="B7" s="32"/>
      <c r="C7" s="32"/>
      <c r="D7" s="134"/>
      <c r="E7" s="34"/>
      <c r="F7" s="68"/>
      <c r="G7" s="27"/>
      <c r="K7" s="35"/>
    </row>
    <row r="8" spans="1:11" ht="15">
      <c r="A8" s="30" t="s">
        <v>7</v>
      </c>
      <c r="B8" s="32">
        <v>8</v>
      </c>
      <c r="C8" s="32"/>
      <c r="D8" s="35">
        <v>12534183</v>
      </c>
      <c r="E8" s="34"/>
      <c r="F8" s="35">
        <f>12154702+924220+1</f>
        <v>13078923</v>
      </c>
      <c r="G8" s="30"/>
      <c r="J8" s="35"/>
      <c r="K8" s="35"/>
    </row>
    <row r="9" spans="1:11" ht="15">
      <c r="A9" s="30" t="s">
        <v>6</v>
      </c>
      <c r="B9" s="36">
        <v>9</v>
      </c>
      <c r="C9" s="32"/>
      <c r="D9" s="35">
        <f>3637836+7725</f>
        <v>3645561</v>
      </c>
      <c r="E9" s="34"/>
      <c r="F9" s="35">
        <f>3526451+7725+197729</f>
        <v>3731905</v>
      </c>
      <c r="G9" s="30"/>
      <c r="H9" s="63"/>
      <c r="J9" s="35"/>
      <c r="K9" s="35"/>
    </row>
    <row r="10" spans="1:11" ht="25.5">
      <c r="A10" s="103" t="s">
        <v>22</v>
      </c>
      <c r="B10" s="36">
        <v>13</v>
      </c>
      <c r="C10" s="79"/>
      <c r="D10" s="35">
        <f>1168000-1645+282</f>
        <v>1166637</v>
      </c>
      <c r="E10" s="34"/>
      <c r="F10" s="35">
        <f>416732-2937</f>
        <v>413795</v>
      </c>
      <c r="G10" s="80"/>
      <c r="H10" s="35"/>
      <c r="I10" s="127"/>
      <c r="J10" s="35"/>
      <c r="K10" s="35"/>
    </row>
    <row r="11" spans="1:11" ht="15">
      <c r="A11" s="103" t="s">
        <v>97</v>
      </c>
      <c r="B11" s="36"/>
      <c r="C11" s="102"/>
      <c r="D11" s="35"/>
      <c r="E11" s="34"/>
      <c r="F11" s="35">
        <v>1087918</v>
      </c>
      <c r="G11" s="103"/>
      <c r="H11" s="35"/>
      <c r="I11" s="127"/>
      <c r="J11" s="35"/>
      <c r="K11" s="35"/>
    </row>
    <row r="12" spans="1:11" ht="15">
      <c r="A12" s="30" t="s">
        <v>20</v>
      </c>
      <c r="B12" s="32">
        <v>11</v>
      </c>
      <c r="C12" s="32"/>
      <c r="D12" s="35">
        <v>60000</v>
      </c>
      <c r="E12" s="34"/>
      <c r="F12" s="35"/>
      <c r="G12" s="30"/>
      <c r="H12" s="35"/>
      <c r="I12" s="127"/>
      <c r="J12" s="35"/>
      <c r="K12" s="35"/>
    </row>
    <row r="13" spans="1:11" ht="15">
      <c r="A13" s="80" t="s">
        <v>87</v>
      </c>
      <c r="B13" s="79"/>
      <c r="C13" s="79"/>
      <c r="D13" s="35"/>
      <c r="E13" s="34"/>
      <c r="F13" s="35"/>
      <c r="G13" s="80"/>
      <c r="H13" s="131"/>
      <c r="J13" s="35"/>
      <c r="K13" s="35"/>
    </row>
    <row r="14" spans="1:11" ht="15.75" thickBot="1">
      <c r="A14" s="27" t="s">
        <v>15</v>
      </c>
      <c r="B14" s="32"/>
      <c r="C14" s="32"/>
      <c r="D14" s="37">
        <f>SUM(D8:D13)</f>
        <v>17406381</v>
      </c>
      <c r="E14" s="34"/>
      <c r="F14" s="37">
        <f>SUM(F8:F13)</f>
        <v>18312541</v>
      </c>
      <c r="G14" s="27"/>
      <c r="H14" s="90"/>
      <c r="I14" s="87"/>
      <c r="J14" s="35"/>
      <c r="K14" s="35"/>
    </row>
    <row r="15" spans="1:11" ht="15">
      <c r="A15" s="30"/>
      <c r="B15" s="32"/>
      <c r="C15" s="32"/>
      <c r="D15" s="134"/>
      <c r="E15" s="34"/>
      <c r="F15" s="106"/>
      <c r="G15" s="27"/>
      <c r="J15" s="35"/>
      <c r="K15" s="35"/>
    </row>
    <row r="16" spans="1:11" ht="15">
      <c r="A16" s="27" t="s">
        <v>21</v>
      </c>
      <c r="B16" s="32"/>
      <c r="C16" s="32"/>
      <c r="D16" s="134"/>
      <c r="E16" s="34"/>
      <c r="F16" s="106"/>
      <c r="G16" s="27"/>
      <c r="J16" s="35"/>
      <c r="K16" s="35"/>
    </row>
    <row r="17" spans="1:11" ht="25.5">
      <c r="A17" s="86" t="s">
        <v>4</v>
      </c>
      <c r="B17" s="85">
        <v>10</v>
      </c>
      <c r="C17" s="85"/>
      <c r="D17" s="35">
        <f>4792171-4763070+11500</f>
        <v>40601</v>
      </c>
      <c r="E17" s="34"/>
      <c r="F17" s="35">
        <f>6182006+614500+1</f>
        <v>6796507</v>
      </c>
      <c r="G17" s="86"/>
      <c r="H17" s="35"/>
      <c r="I17" s="104"/>
      <c r="J17" s="35"/>
      <c r="K17" s="35"/>
    </row>
    <row r="18" spans="1:11" ht="15">
      <c r="A18" s="86" t="s">
        <v>20</v>
      </c>
      <c r="B18" s="85">
        <v>11</v>
      </c>
      <c r="C18" s="85"/>
      <c r="D18" s="35">
        <f>4763070-11500-8960-D12</f>
        <v>4682610</v>
      </c>
      <c r="E18" s="34"/>
      <c r="F18" s="35">
        <f>3672684-614500-9511-1</f>
        <v>3048672</v>
      </c>
      <c r="G18" s="86"/>
      <c r="H18" s="35"/>
      <c r="J18" s="35"/>
      <c r="K18" s="35"/>
    </row>
    <row r="19" spans="1:11" ht="25.5">
      <c r="A19" s="86" t="s">
        <v>90</v>
      </c>
      <c r="B19" s="85">
        <v>12</v>
      </c>
      <c r="C19" s="85"/>
      <c r="E19" s="34"/>
      <c r="F19" s="44"/>
      <c r="G19" s="86"/>
      <c r="H19" s="107"/>
      <c r="I19" s="35"/>
      <c r="J19" s="35"/>
      <c r="K19" s="35"/>
    </row>
    <row r="20" spans="1:12" ht="25.5">
      <c r="A20" s="30" t="s">
        <v>22</v>
      </c>
      <c r="B20" s="32">
        <v>13</v>
      </c>
      <c r="C20" s="32"/>
      <c r="D20" s="35">
        <f>1471513+3498-881+22221-1</f>
        <v>1496350</v>
      </c>
      <c r="E20" s="34"/>
      <c r="F20" s="35">
        <f>879226+1835-1667+9136+1</f>
        <v>888531</v>
      </c>
      <c r="G20" s="30"/>
      <c r="H20" s="35"/>
      <c r="I20" s="35"/>
      <c r="J20" s="35"/>
      <c r="K20" s="35"/>
      <c r="L20" s="104"/>
    </row>
    <row r="21" spans="1:12" ht="15">
      <c r="A21" s="103" t="s">
        <v>97</v>
      </c>
      <c r="B21" s="102"/>
      <c r="C21" s="102"/>
      <c r="D21" s="35">
        <v>1279427</v>
      </c>
      <c r="E21" s="34"/>
      <c r="F21" s="35">
        <v>711789</v>
      </c>
      <c r="G21" s="103"/>
      <c r="H21" s="35"/>
      <c r="I21" s="35"/>
      <c r="J21" s="35"/>
      <c r="K21" s="35"/>
      <c r="L21" s="104"/>
    </row>
    <row r="22" spans="1:11" ht="15">
      <c r="A22" s="30" t="s">
        <v>23</v>
      </c>
      <c r="B22" s="32">
        <v>14</v>
      </c>
      <c r="C22" s="32"/>
      <c r="D22" s="35">
        <f>1315840+42130+282</f>
        <v>1358252</v>
      </c>
      <c r="E22" s="34"/>
      <c r="F22" s="35">
        <f>96622+6598+381</f>
        <v>103601</v>
      </c>
      <c r="G22" s="30"/>
      <c r="H22" s="35"/>
      <c r="I22" s="35"/>
      <c r="J22" s="35"/>
      <c r="K22" s="35"/>
    </row>
    <row r="23" spans="1:11" ht="15">
      <c r="A23" s="30" t="s">
        <v>5</v>
      </c>
      <c r="B23" s="32"/>
      <c r="C23" s="32"/>
      <c r="D23" s="35">
        <f>106751+1</f>
        <v>106752</v>
      </c>
      <c r="E23" s="34"/>
      <c r="F23" s="35">
        <v>39774</v>
      </c>
      <c r="G23" s="86"/>
      <c r="I23" s="35"/>
      <c r="J23" s="35"/>
      <c r="K23" s="35"/>
    </row>
    <row r="24" spans="1:11" ht="15">
      <c r="A24" s="30" t="s">
        <v>24</v>
      </c>
      <c r="B24" s="32"/>
      <c r="C24" s="32"/>
      <c r="D24" s="35">
        <f>235382-235346</f>
        <v>36</v>
      </c>
      <c r="E24" s="34"/>
      <c r="F24" s="35">
        <v>204168</v>
      </c>
      <c r="G24" s="30"/>
      <c r="J24" s="35"/>
      <c r="K24" s="35"/>
    </row>
    <row r="25" spans="1:11" ht="15.75" thickBot="1">
      <c r="A25" s="27" t="s">
        <v>25</v>
      </c>
      <c r="B25" s="32"/>
      <c r="C25" s="32"/>
      <c r="D25" s="37">
        <f>SUM(D17:D24)</f>
        <v>8964028</v>
      </c>
      <c r="E25" s="34"/>
      <c r="F25" s="37">
        <f>SUM(F17:F24)</f>
        <v>11793042</v>
      </c>
      <c r="G25" s="27"/>
      <c r="J25" s="35"/>
      <c r="K25" s="35"/>
    </row>
    <row r="26" spans="1:11" ht="15.75" thickBot="1">
      <c r="A26" s="27" t="s">
        <v>26</v>
      </c>
      <c r="B26" s="32"/>
      <c r="C26" s="32"/>
      <c r="D26" s="38">
        <f>D14+D25</f>
        <v>26370409</v>
      </c>
      <c r="E26" s="34"/>
      <c r="F26" s="38">
        <f>F14+F25</f>
        <v>30105583</v>
      </c>
      <c r="G26" s="27"/>
      <c r="H26" s="73"/>
      <c r="I26" s="35"/>
      <c r="J26" s="35"/>
      <c r="K26" s="35"/>
    </row>
    <row r="27" spans="1:11" ht="15.75" thickTop="1">
      <c r="A27" s="27"/>
      <c r="B27" s="142"/>
      <c r="C27" s="143"/>
      <c r="D27" s="144"/>
      <c r="E27" s="146"/>
      <c r="F27" s="147"/>
      <c r="G27" s="140"/>
      <c r="J27" s="35"/>
      <c r="K27" s="35"/>
    </row>
    <row r="28" spans="1:11" ht="15">
      <c r="A28" s="27" t="s">
        <v>27</v>
      </c>
      <c r="B28" s="142"/>
      <c r="C28" s="143"/>
      <c r="D28" s="145"/>
      <c r="E28" s="146"/>
      <c r="F28" s="146"/>
      <c r="G28" s="140"/>
      <c r="J28" s="35"/>
      <c r="K28" s="35"/>
    </row>
    <row r="29" spans="1:11" ht="15">
      <c r="A29" s="27" t="s">
        <v>28</v>
      </c>
      <c r="B29" s="32">
        <v>15</v>
      </c>
      <c r="C29" s="30"/>
      <c r="D29" s="134"/>
      <c r="E29" s="33"/>
      <c r="F29" s="34"/>
      <c r="G29" s="30"/>
      <c r="K29" s="35"/>
    </row>
    <row r="30" spans="1:11" ht="15">
      <c r="A30" s="30" t="s">
        <v>29</v>
      </c>
      <c r="B30" s="32"/>
      <c r="C30" s="30"/>
      <c r="D30" s="35">
        <v>300000</v>
      </c>
      <c r="E30" s="34"/>
      <c r="F30" s="35">
        <v>300000</v>
      </c>
      <c r="G30" s="30"/>
      <c r="J30" s="35"/>
      <c r="K30" s="35"/>
    </row>
    <row r="31" spans="1:11" ht="25.5">
      <c r="A31" s="30" t="s">
        <v>13</v>
      </c>
      <c r="B31" s="32"/>
      <c r="C31" s="30"/>
      <c r="D31" s="35">
        <v>182606</v>
      </c>
      <c r="E31" s="34"/>
      <c r="F31" s="35">
        <v>182606</v>
      </c>
      <c r="G31" s="30"/>
      <c r="J31" s="35"/>
      <c r="K31" s="35" t="s">
        <v>98</v>
      </c>
    </row>
    <row r="32" spans="1:11" ht="15">
      <c r="A32" s="30" t="s">
        <v>16</v>
      </c>
      <c r="B32" s="32"/>
      <c r="C32" s="30"/>
      <c r="D32" s="35">
        <f>840254+2090626+3027630</f>
        <v>5958510</v>
      </c>
      <c r="E32" s="34"/>
      <c r="F32" s="35">
        <f>840254+2090626+3027630</f>
        <v>5958510</v>
      </c>
      <c r="G32" s="30"/>
      <c r="J32" s="35"/>
      <c r="K32" s="35"/>
    </row>
    <row r="33" spans="1:11" ht="15.75" thickBot="1">
      <c r="A33" s="30" t="s">
        <v>9</v>
      </c>
      <c r="B33" s="32"/>
      <c r="C33" s="30"/>
      <c r="D33" s="13">
        <f>F33+ОПУ!C16</f>
        <v>1689360</v>
      </c>
      <c r="E33" s="34"/>
      <c r="F33" s="13">
        <v>119404</v>
      </c>
      <c r="G33" s="39"/>
      <c r="H33" s="35"/>
      <c r="I33" s="35"/>
      <c r="J33" s="35"/>
      <c r="K33" s="35"/>
    </row>
    <row r="34" spans="1:11" ht="15.75" thickBot="1">
      <c r="A34" s="27" t="s">
        <v>30</v>
      </c>
      <c r="B34" s="32"/>
      <c r="C34" s="30"/>
      <c r="D34" s="37">
        <f>SUM(D30:D33)</f>
        <v>8130476</v>
      </c>
      <c r="E34" s="34"/>
      <c r="F34" s="37">
        <f>SUM(F30:F33)</f>
        <v>6560520</v>
      </c>
      <c r="G34" s="40"/>
      <c r="J34" s="35"/>
      <c r="K34" s="35"/>
    </row>
    <row r="35" spans="1:11" ht="15">
      <c r="A35" s="30"/>
      <c r="B35" s="32"/>
      <c r="C35" s="30"/>
      <c r="D35" s="41"/>
      <c r="E35" s="34"/>
      <c r="F35" s="34"/>
      <c r="G35" s="30"/>
      <c r="J35" s="35"/>
      <c r="K35" s="35"/>
    </row>
    <row r="36" spans="1:11" ht="15">
      <c r="A36" s="27" t="s">
        <v>31</v>
      </c>
      <c r="B36" s="32"/>
      <c r="C36" s="30"/>
      <c r="D36" s="41"/>
      <c r="E36" s="34"/>
      <c r="F36" s="34"/>
      <c r="G36" s="30"/>
      <c r="J36" s="35"/>
      <c r="K36" s="35"/>
    </row>
    <row r="37" spans="1:11" ht="15">
      <c r="A37" s="30" t="s">
        <v>32</v>
      </c>
      <c r="B37" s="32">
        <v>19</v>
      </c>
      <c r="C37" s="30"/>
      <c r="D37" s="35">
        <f>12608351-1035637-1</f>
        <v>11572713</v>
      </c>
      <c r="E37" s="34"/>
      <c r="F37" s="35"/>
      <c r="G37" s="30"/>
      <c r="J37" s="35"/>
      <c r="K37" s="35"/>
    </row>
    <row r="38" spans="1:11" ht="15">
      <c r="A38" s="30" t="s">
        <v>33</v>
      </c>
      <c r="B38" s="32">
        <v>17</v>
      </c>
      <c r="C38" s="30"/>
      <c r="D38" s="35">
        <f>1978823-659608</f>
        <v>1319215</v>
      </c>
      <c r="E38" s="34"/>
      <c r="F38" s="35">
        <v>537968</v>
      </c>
      <c r="G38" s="30"/>
      <c r="I38" s="87"/>
      <c r="J38" s="35"/>
      <c r="K38" s="35"/>
    </row>
    <row r="39" spans="1:11" ht="25.5">
      <c r="A39" s="30" t="s">
        <v>8</v>
      </c>
      <c r="B39" s="32">
        <v>18</v>
      </c>
      <c r="C39" s="30"/>
      <c r="D39" s="35">
        <f>F39+106508</f>
        <v>2041470</v>
      </c>
      <c r="E39" s="34"/>
      <c r="F39" s="35">
        <f>1175066+541164+224466-5733-1</f>
        <v>1934962</v>
      </c>
      <c r="G39" s="30"/>
      <c r="H39" s="35"/>
      <c r="I39" s="35"/>
      <c r="J39" s="105"/>
      <c r="K39" s="35"/>
    </row>
    <row r="40" spans="1:11" ht="15.75" thickBot="1">
      <c r="A40" s="27" t="s">
        <v>35</v>
      </c>
      <c r="B40" s="32"/>
      <c r="C40" s="30"/>
      <c r="D40" s="37">
        <f>SUM(D37:D39)</f>
        <v>14933398</v>
      </c>
      <c r="E40" s="34"/>
      <c r="F40" s="37">
        <f>SUM(F37:F39)</f>
        <v>2472930</v>
      </c>
      <c r="G40" s="27"/>
      <c r="J40" s="35"/>
      <c r="K40" s="35"/>
    </row>
    <row r="41" spans="1:11" ht="15">
      <c r="A41" s="27"/>
      <c r="B41" s="32"/>
      <c r="C41" s="30"/>
      <c r="D41" s="41"/>
      <c r="E41" s="34"/>
      <c r="F41" s="34"/>
      <c r="G41" s="30"/>
      <c r="J41" s="35"/>
      <c r="K41" s="35"/>
    </row>
    <row r="42" spans="1:11" ht="15">
      <c r="A42" s="27" t="s">
        <v>36</v>
      </c>
      <c r="B42" s="32"/>
      <c r="C42" s="30"/>
      <c r="D42" s="41"/>
      <c r="E42" s="34"/>
      <c r="F42" s="34"/>
      <c r="G42" s="30"/>
      <c r="J42" s="35"/>
      <c r="K42" s="35"/>
    </row>
    <row r="43" spans="1:11" ht="15">
      <c r="A43" s="100" t="s">
        <v>32</v>
      </c>
      <c r="B43" s="99">
        <v>19</v>
      </c>
      <c r="C43" s="100"/>
      <c r="D43" s="35">
        <v>1035637</v>
      </c>
      <c r="E43" s="34"/>
      <c r="F43" s="105">
        <f>18822250-27139+74</f>
        <v>18795185</v>
      </c>
      <c r="G43" s="100"/>
      <c r="J43" s="35"/>
      <c r="K43" s="35"/>
    </row>
    <row r="44" spans="1:11" ht="15">
      <c r="A44" s="30" t="s">
        <v>33</v>
      </c>
      <c r="B44" s="32">
        <v>17</v>
      </c>
      <c r="C44" s="30"/>
      <c r="D44" s="35">
        <f>16063+620000+659608</f>
        <v>1295671</v>
      </c>
      <c r="E44" s="34"/>
      <c r="F44" s="105">
        <f>600000+166856+6842</f>
        <v>773698</v>
      </c>
      <c r="G44" s="30"/>
      <c r="J44" s="35"/>
      <c r="K44" s="35"/>
    </row>
    <row r="45" spans="1:11" ht="25.5">
      <c r="A45" s="30" t="s">
        <v>37</v>
      </c>
      <c r="B45" s="32">
        <v>20</v>
      </c>
      <c r="C45" s="30"/>
      <c r="D45" s="35">
        <f>385213+143856+60689+3261-2</f>
        <v>593017</v>
      </c>
      <c r="E45" s="34"/>
      <c r="F45" s="105">
        <f>1248456+147088+25233+3564-4</f>
        <v>1424337</v>
      </c>
      <c r="G45" s="30"/>
      <c r="H45" s="35"/>
      <c r="I45" s="105"/>
      <c r="J45" s="105"/>
      <c r="K45" s="35"/>
    </row>
    <row r="46" spans="1:11" ht="15">
      <c r="A46" s="30" t="s">
        <v>14</v>
      </c>
      <c r="B46" s="32">
        <v>21</v>
      </c>
      <c r="C46" s="30"/>
      <c r="D46" s="35">
        <f>482136-99914-11-1</f>
        <v>382210</v>
      </c>
      <c r="E46" s="42"/>
      <c r="F46" s="105">
        <f>85231-6306-11-1</f>
        <v>78913</v>
      </c>
      <c r="G46" s="39"/>
      <c r="H46" s="35"/>
      <c r="I46" s="35"/>
      <c r="J46" s="35"/>
      <c r="K46" s="35"/>
    </row>
    <row r="47" spans="1:11" ht="25.5">
      <c r="A47" s="27" t="s">
        <v>38</v>
      </c>
      <c r="B47" s="32"/>
      <c r="C47" s="30"/>
      <c r="D47" s="43">
        <f>SUM(D43:D46)</f>
        <v>3306535</v>
      </c>
      <c r="E47" s="34"/>
      <c r="F47" s="43">
        <f>SUM(F43:F46)</f>
        <v>21072133</v>
      </c>
      <c r="G47" s="27"/>
      <c r="I47" s="87"/>
      <c r="J47" s="35"/>
      <c r="K47" s="35"/>
    </row>
    <row r="48" spans="1:11" ht="15.75" thickBot="1">
      <c r="A48" s="27" t="s">
        <v>39</v>
      </c>
      <c r="B48" s="32"/>
      <c r="C48" s="30"/>
      <c r="D48" s="37">
        <f>D40+D47</f>
        <v>18239933</v>
      </c>
      <c r="E48" s="34"/>
      <c r="F48" s="37">
        <f>F40+F47</f>
        <v>23545063</v>
      </c>
      <c r="G48" s="27"/>
      <c r="H48" s="87"/>
      <c r="I48" s="87"/>
      <c r="J48" s="35"/>
      <c r="K48" s="35"/>
    </row>
    <row r="49" spans="1:11" ht="15.75" thickBot="1">
      <c r="A49" s="27" t="s">
        <v>40</v>
      </c>
      <c r="B49" s="32"/>
      <c r="C49" s="30"/>
      <c r="D49" s="38">
        <f>D34+D48</f>
        <v>26370409</v>
      </c>
      <c r="E49" s="34"/>
      <c r="F49" s="38">
        <f>F34+F48</f>
        <v>30105583</v>
      </c>
      <c r="G49" s="27"/>
      <c r="H49" s="87"/>
      <c r="I49" s="87"/>
      <c r="J49" s="35"/>
      <c r="K49" s="35"/>
    </row>
    <row r="50" spans="4:11" ht="15.75" thickTop="1">
      <c r="D50" s="130">
        <f>D26-D49</f>
        <v>0</v>
      </c>
      <c r="E50" s="58"/>
      <c r="F50" s="58">
        <f>F26-F49</f>
        <v>0</v>
      </c>
      <c r="K50" s="35"/>
    </row>
    <row r="51" spans="1:10" ht="15">
      <c r="A51" s="46"/>
      <c r="J51" s="35"/>
    </row>
    <row r="52" spans="1:10" ht="15">
      <c r="A52" s="82" t="s">
        <v>111</v>
      </c>
      <c r="H52" s="61"/>
      <c r="I52" s="45"/>
      <c r="J52" s="61"/>
    </row>
  </sheetData>
  <sheetProtection/>
  <mergeCells count="9">
    <mergeCell ref="A1:F1"/>
    <mergeCell ref="A2:F2"/>
    <mergeCell ref="G27:G28"/>
    <mergeCell ref="B4:B5"/>
    <mergeCell ref="B27:B28"/>
    <mergeCell ref="C27:C28"/>
    <mergeCell ref="D27:D28"/>
    <mergeCell ref="E27:E28"/>
    <mergeCell ref="F27:F28"/>
  </mergeCells>
  <hyperlinks>
    <hyperlink ref="B9" r:id="rId1" display="_Property,_plant_and"/>
  </hyperlinks>
  <printOptions/>
  <pageMargins left="0.7" right="0.7" top="0.75" bottom="0.75" header="0.3" footer="0.3"/>
  <pageSetup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zoomScalePageLayoutView="0" workbookViewId="0" topLeftCell="A7">
      <selection activeCell="L29" sqref="L29"/>
    </sheetView>
  </sheetViews>
  <sheetFormatPr defaultColWidth="9.140625" defaultRowHeight="15"/>
  <cols>
    <col min="1" max="1" width="46.140625" style="1" customWidth="1"/>
    <col min="2" max="2" width="16.7109375" style="91" customWidth="1"/>
    <col min="3" max="3" width="6.57421875" style="26" customWidth="1"/>
    <col min="4" max="4" width="17.421875" style="56" customWidth="1"/>
    <col min="6" max="6" width="12.421875" style="0" bestFit="1" customWidth="1"/>
  </cols>
  <sheetData>
    <row r="1" spans="1:4" ht="15.75">
      <c r="A1" s="148" t="s">
        <v>11</v>
      </c>
      <c r="B1" s="148"/>
      <c r="C1" s="148"/>
      <c r="D1" s="148"/>
    </row>
    <row r="2" spans="1:4" ht="15.75">
      <c r="A2" s="149" t="s">
        <v>106</v>
      </c>
      <c r="B2" s="149"/>
      <c r="C2" s="149"/>
      <c r="D2" s="149"/>
    </row>
    <row r="3" spans="1:4" ht="15">
      <c r="A3" s="153"/>
      <c r="C3" s="98"/>
      <c r="D3" s="48"/>
    </row>
    <row r="4" spans="1:4" ht="15">
      <c r="A4" s="153"/>
      <c r="B4" s="101" t="s">
        <v>109</v>
      </c>
      <c r="C4" s="50"/>
      <c r="D4" s="101" t="s">
        <v>110</v>
      </c>
    </row>
    <row r="5" spans="1:4" ht="15.75" thickBot="1">
      <c r="A5" s="3"/>
      <c r="B5" s="93" t="s">
        <v>0</v>
      </c>
      <c r="C5" s="50"/>
      <c r="D5" s="51" t="s">
        <v>0</v>
      </c>
    </row>
    <row r="6" spans="1:4" ht="15">
      <c r="A6" s="4" t="s">
        <v>41</v>
      </c>
      <c r="B6" s="94"/>
      <c r="C6" s="53"/>
      <c r="D6" s="54"/>
    </row>
    <row r="7" spans="1:6" ht="25.5">
      <c r="A7" s="3" t="s">
        <v>42</v>
      </c>
      <c r="B7" s="95">
        <v>5339441</v>
      </c>
      <c r="C7" s="53"/>
      <c r="D7" s="52">
        <v>5038762</v>
      </c>
      <c r="F7" s="76"/>
    </row>
    <row r="8" spans="1:7" ht="25.5">
      <c r="A8" s="3" t="s">
        <v>43</v>
      </c>
      <c r="B8" s="12">
        <f>-3835679-338277-23302</f>
        <v>-4197258</v>
      </c>
      <c r="C8" s="53"/>
      <c r="D8" s="12">
        <v>-2417527</v>
      </c>
      <c r="F8" s="66"/>
      <c r="G8" s="66"/>
    </row>
    <row r="9" spans="1:7" ht="15">
      <c r="A9" s="3" t="s">
        <v>44</v>
      </c>
      <c r="B9" s="12">
        <v>-164793</v>
      </c>
      <c r="C9" s="53"/>
      <c r="D9" s="12">
        <v>-109397</v>
      </c>
      <c r="F9" s="66"/>
      <c r="G9" s="66"/>
    </row>
    <row r="10" spans="1:7" ht="15.75" thickBot="1">
      <c r="A10" s="3" t="s">
        <v>45</v>
      </c>
      <c r="B10" s="96">
        <v>1120</v>
      </c>
      <c r="C10" s="53"/>
      <c r="D10" s="55">
        <v>920</v>
      </c>
      <c r="G10" s="66"/>
    </row>
    <row r="11" spans="1:4" ht="38.25">
      <c r="A11" s="2" t="s">
        <v>46</v>
      </c>
      <c r="B11" s="92">
        <f>SUM(B7:B10)</f>
        <v>978510</v>
      </c>
      <c r="C11" s="49"/>
      <c r="D11" s="49">
        <f>SUM(D7:D10)</f>
        <v>2512758</v>
      </c>
    </row>
    <row r="12" spans="1:7" ht="15">
      <c r="A12" s="3" t="s">
        <v>47</v>
      </c>
      <c r="B12" s="12">
        <v>-1326988</v>
      </c>
      <c r="C12" s="53"/>
      <c r="D12" s="12">
        <v>-1623670</v>
      </c>
      <c r="F12" s="66"/>
      <c r="G12" s="66"/>
    </row>
    <row r="13" spans="1:4" ht="15">
      <c r="A13" s="3" t="s">
        <v>48</v>
      </c>
      <c r="B13" s="95">
        <v>205041</v>
      </c>
      <c r="C13" s="53"/>
      <c r="D13" s="52">
        <v>254977</v>
      </c>
    </row>
    <row r="14" spans="1:6" ht="26.25" thickBot="1">
      <c r="A14" s="4" t="s">
        <v>49</v>
      </c>
      <c r="B14" s="19">
        <f>SUM(B11:B13)</f>
        <v>-143437</v>
      </c>
      <c r="C14" s="53"/>
      <c r="D14" s="77">
        <f>SUM(D11:D13)</f>
        <v>1144065</v>
      </c>
      <c r="F14" s="66"/>
    </row>
    <row r="15" spans="1:4" ht="15">
      <c r="A15" s="4"/>
      <c r="B15" s="92"/>
      <c r="C15" s="46"/>
      <c r="D15" s="48"/>
    </row>
    <row r="16" spans="1:4" ht="15">
      <c r="A16" s="4" t="s">
        <v>50</v>
      </c>
      <c r="B16" s="97"/>
      <c r="C16" s="46"/>
      <c r="D16" s="48"/>
    </row>
    <row r="17" spans="1:7" ht="15">
      <c r="A17" s="3" t="s">
        <v>51</v>
      </c>
      <c r="B17" s="12">
        <v>-2062</v>
      </c>
      <c r="C17" s="53"/>
      <c r="D17" s="12">
        <v>-135711</v>
      </c>
      <c r="F17" s="66"/>
      <c r="G17" s="66"/>
    </row>
    <row r="18" spans="1:4" ht="15">
      <c r="A18" s="3" t="s">
        <v>52</v>
      </c>
      <c r="B18" s="12">
        <v>-120</v>
      </c>
      <c r="C18" s="53"/>
      <c r="D18" s="12">
        <v>-15998</v>
      </c>
    </row>
    <row r="19" spans="1:6" ht="15">
      <c r="A19" s="3" t="s">
        <v>53</v>
      </c>
      <c r="B19" s="12">
        <v>-7688566</v>
      </c>
      <c r="C19" s="53"/>
      <c r="D19" s="12">
        <v>-6658346</v>
      </c>
      <c r="F19" s="66"/>
    </row>
    <row r="20" spans="1:4" ht="15.75" thickBot="1">
      <c r="A20" s="3" t="s">
        <v>54</v>
      </c>
      <c r="B20" s="96">
        <v>5998179</v>
      </c>
      <c r="C20" s="53"/>
      <c r="D20" s="55">
        <v>7322293</v>
      </c>
    </row>
    <row r="21" spans="1:6" ht="26.25" thickBot="1">
      <c r="A21" s="4" t="s">
        <v>55</v>
      </c>
      <c r="B21" s="77">
        <f>SUM(B17:B20)</f>
        <v>-1692569</v>
      </c>
      <c r="C21" s="46"/>
      <c r="D21" s="25">
        <f>SUM(D17:D20)</f>
        <v>512238</v>
      </c>
      <c r="F21" s="66"/>
    </row>
    <row r="22" spans="1:4" ht="15">
      <c r="A22" s="3"/>
      <c r="B22" s="94"/>
      <c r="C22" s="53"/>
      <c r="D22" s="54"/>
    </row>
    <row r="23" spans="1:4" ht="15">
      <c r="A23" s="4" t="s">
        <v>56</v>
      </c>
      <c r="B23" s="94"/>
      <c r="C23" s="53"/>
      <c r="D23" s="54"/>
    </row>
    <row r="24" spans="1:4" ht="15">
      <c r="A24" s="81" t="s">
        <v>88</v>
      </c>
      <c r="B24" s="94">
        <v>2598823</v>
      </c>
      <c r="C24" s="53"/>
      <c r="D24" s="94"/>
    </row>
    <row r="25" spans="1:4" ht="15">
      <c r="A25" s="3" t="s">
        <v>57</v>
      </c>
      <c r="B25" s="12">
        <v>-1304824</v>
      </c>
      <c r="C25" s="53"/>
      <c r="D25" s="12">
        <v>-41714</v>
      </c>
    </row>
    <row r="26" spans="1:4" ht="15">
      <c r="A26" s="57" t="s">
        <v>84</v>
      </c>
      <c r="B26" s="12"/>
      <c r="C26" s="53"/>
      <c r="D26" s="12"/>
    </row>
    <row r="27" spans="1:4" ht="15">
      <c r="A27" s="81" t="s">
        <v>58</v>
      </c>
      <c r="B27" s="12"/>
      <c r="C27" s="53"/>
      <c r="D27" s="12"/>
    </row>
    <row r="28" spans="1:7" ht="15.75" thickBot="1">
      <c r="A28" s="3" t="s">
        <v>89</v>
      </c>
      <c r="B28" s="13">
        <v>-6213899</v>
      </c>
      <c r="C28" s="53"/>
      <c r="D28" s="13"/>
      <c r="G28" s="66"/>
    </row>
    <row r="29" spans="1:4" ht="26.25" thickBot="1">
      <c r="A29" s="4" t="s">
        <v>59</v>
      </c>
      <c r="B29" s="77">
        <f>SUM(B24:B28)</f>
        <v>-4919900</v>
      </c>
      <c r="C29" s="46"/>
      <c r="D29" s="25">
        <f>SUM(D24:D28)</f>
        <v>-41714</v>
      </c>
    </row>
    <row r="30" spans="1:4" ht="15">
      <c r="A30" s="4"/>
      <c r="C30" s="152"/>
      <c r="D30" s="83"/>
    </row>
    <row r="31" spans="1:4" ht="25.5">
      <c r="A31" s="4" t="s">
        <v>60</v>
      </c>
      <c r="B31" s="84">
        <f>B14+B21+B29</f>
        <v>-6755906</v>
      </c>
      <c r="C31" s="152"/>
      <c r="D31" s="84">
        <f>D14+D21+D29</f>
        <v>1614589</v>
      </c>
    </row>
    <row r="32" spans="1:4" ht="26.25" thickBot="1">
      <c r="A32" s="3" t="s">
        <v>61</v>
      </c>
      <c r="B32" s="96"/>
      <c r="C32" s="46"/>
      <c r="D32" s="13"/>
    </row>
    <row r="33" spans="1:4" ht="15.75" thickBot="1">
      <c r="A33" s="3" t="s">
        <v>62</v>
      </c>
      <c r="B33" s="96">
        <v>6796507</v>
      </c>
      <c r="C33" s="53"/>
      <c r="D33" s="55">
        <v>9167</v>
      </c>
    </row>
    <row r="34" spans="1:4" ht="15">
      <c r="A34" s="4" t="s">
        <v>63</v>
      </c>
      <c r="B34" s="150">
        <f>B31+B33+B32</f>
        <v>40601</v>
      </c>
      <c r="C34" s="152"/>
      <c r="D34" s="150">
        <f>D31+D33+D32</f>
        <v>1623756</v>
      </c>
    </row>
    <row r="35" spans="1:4" ht="15.75" thickBot="1">
      <c r="A35" s="3"/>
      <c r="B35" s="151"/>
      <c r="C35" s="152"/>
      <c r="D35" s="151"/>
    </row>
    <row r="36" ht="15.75" thickTop="1">
      <c r="A36" s="5"/>
    </row>
    <row r="37" ht="15">
      <c r="A37" s="6"/>
    </row>
  </sheetData>
  <sheetProtection/>
  <mergeCells count="7">
    <mergeCell ref="A1:D1"/>
    <mergeCell ref="A2:D2"/>
    <mergeCell ref="B34:B35"/>
    <mergeCell ref="C34:C35"/>
    <mergeCell ref="D34:D35"/>
    <mergeCell ref="A3:A4"/>
    <mergeCell ref="C30:C3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6.8515625" style="0" customWidth="1"/>
    <col min="4" max="4" width="11.14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154" t="s">
        <v>12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5">
      <c r="A2" s="154" t="s">
        <v>107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 ht="39" thickBot="1">
      <c r="A4" s="21" t="s">
        <v>79</v>
      </c>
      <c r="B4" s="14" t="s">
        <v>80</v>
      </c>
      <c r="C4" s="8"/>
      <c r="D4" s="14" t="s">
        <v>16</v>
      </c>
      <c r="E4" s="8"/>
      <c r="F4" s="14" t="s">
        <v>13</v>
      </c>
      <c r="G4" s="8"/>
      <c r="H4" s="14" t="s">
        <v>81</v>
      </c>
      <c r="I4" s="8"/>
      <c r="J4" s="14" t="s">
        <v>82</v>
      </c>
    </row>
    <row r="5" spans="1:10" ht="15">
      <c r="A5" s="7" t="s">
        <v>95</v>
      </c>
      <c r="B5" s="59">
        <v>300000</v>
      </c>
      <c r="C5" s="16"/>
      <c r="D5" s="59">
        <v>2930880</v>
      </c>
      <c r="E5" s="59"/>
      <c r="F5" s="59">
        <v>182606</v>
      </c>
      <c r="G5" s="16"/>
      <c r="H5" s="59">
        <v>128485</v>
      </c>
      <c r="I5" s="16"/>
      <c r="J5" s="19">
        <f aca="true" t="shared" si="0" ref="J5:J10">SUM(B5:I5)</f>
        <v>3541971</v>
      </c>
    </row>
    <row r="6" spans="1:10" ht="38.25">
      <c r="A6" s="110" t="s">
        <v>100</v>
      </c>
      <c r="B6" s="111"/>
      <c r="C6" s="16"/>
      <c r="D6" s="112"/>
      <c r="E6" s="59"/>
      <c r="F6" s="112"/>
      <c r="G6" s="16"/>
      <c r="H6" s="113">
        <v>-9081</v>
      </c>
      <c r="I6" s="16"/>
      <c r="J6" s="113">
        <f t="shared" si="0"/>
        <v>-9081</v>
      </c>
    </row>
    <row r="7" spans="1:10" ht="25.5">
      <c r="A7" s="7" t="s">
        <v>101</v>
      </c>
      <c r="B7" s="59">
        <f>B5+B6</f>
        <v>300000</v>
      </c>
      <c r="C7" s="59"/>
      <c r="D7" s="59">
        <f>D5+D6</f>
        <v>2930880</v>
      </c>
      <c r="E7" s="59"/>
      <c r="F7" s="59">
        <f>F5+F6</f>
        <v>182606</v>
      </c>
      <c r="G7" s="59"/>
      <c r="H7" s="59">
        <f>H5+H6</f>
        <v>119404</v>
      </c>
      <c r="I7" s="16"/>
      <c r="J7" s="19">
        <f t="shared" si="0"/>
        <v>3532890</v>
      </c>
    </row>
    <row r="8" spans="1:10" ht="36.75" customHeight="1">
      <c r="A8" s="10" t="s">
        <v>74</v>
      </c>
      <c r="B8" s="70" t="s">
        <v>34</v>
      </c>
      <c r="C8" s="70"/>
      <c r="D8" s="70" t="s">
        <v>34</v>
      </c>
      <c r="E8" s="70"/>
      <c r="F8" s="70" t="s">
        <v>34</v>
      </c>
      <c r="G8" s="70"/>
      <c r="H8" s="35">
        <v>3027630</v>
      </c>
      <c r="I8" s="15"/>
      <c r="J8" s="12">
        <f t="shared" si="0"/>
        <v>3027630</v>
      </c>
    </row>
    <row r="9" spans="1:10" ht="15">
      <c r="A9" s="69" t="s">
        <v>86</v>
      </c>
      <c r="B9" s="70"/>
      <c r="C9" s="70"/>
      <c r="D9" s="70"/>
      <c r="E9" s="70"/>
      <c r="F9" s="70"/>
      <c r="G9" s="70"/>
      <c r="H9" s="12"/>
      <c r="I9" s="15"/>
      <c r="J9" s="12">
        <f t="shared" si="0"/>
        <v>0</v>
      </c>
    </row>
    <row r="10" spans="1:10" ht="25.5">
      <c r="A10" s="10" t="s">
        <v>83</v>
      </c>
      <c r="B10" s="72" t="s">
        <v>34</v>
      </c>
      <c r="C10" s="70"/>
      <c r="D10" s="73">
        <v>3027630</v>
      </c>
      <c r="E10" s="70"/>
      <c r="F10" s="72" t="s">
        <v>34</v>
      </c>
      <c r="G10" s="72"/>
      <c r="H10" s="12">
        <f>-3027630</f>
        <v>-3027630</v>
      </c>
      <c r="I10" s="72"/>
      <c r="J10" s="12">
        <f t="shared" si="0"/>
        <v>0</v>
      </c>
    </row>
    <row r="11" spans="1:10" ht="15.75" thickBot="1">
      <c r="A11" s="7" t="s">
        <v>96</v>
      </c>
      <c r="B11" s="71">
        <f>SUM(B7:B10)</f>
        <v>300000</v>
      </c>
      <c r="C11" s="15"/>
      <c r="D11" s="71">
        <f>SUM(D7:D10)</f>
        <v>5958510</v>
      </c>
      <c r="E11" s="22"/>
      <c r="F11" s="71">
        <f>SUM(F7:F10)</f>
        <v>182606</v>
      </c>
      <c r="G11" s="22"/>
      <c r="H11" s="71">
        <f>SUM(H7:H10)</f>
        <v>119404</v>
      </c>
      <c r="I11" s="16"/>
      <c r="J11" s="71">
        <f>SUM(J7:J10)</f>
        <v>6560520</v>
      </c>
    </row>
    <row r="12" spans="1:10" ht="15.75" thickTop="1">
      <c r="A12" s="10"/>
      <c r="B12" s="15"/>
      <c r="C12" s="15"/>
      <c r="D12" s="15"/>
      <c r="E12" s="15"/>
      <c r="F12" s="15"/>
      <c r="G12" s="15"/>
      <c r="H12" s="15"/>
      <c r="I12" s="15"/>
      <c r="J12" s="15"/>
    </row>
    <row r="13" spans="1:10" s="60" customFormat="1" ht="15">
      <c r="A13" s="7" t="s">
        <v>99</v>
      </c>
      <c r="B13" s="59">
        <v>300000</v>
      </c>
      <c r="C13" s="16"/>
      <c r="D13" s="59">
        <f>D11</f>
        <v>5958510</v>
      </c>
      <c r="E13" s="59"/>
      <c r="F13" s="59">
        <f>F11</f>
        <v>182606</v>
      </c>
      <c r="G13" s="59"/>
      <c r="H13" s="59">
        <f>H11</f>
        <v>119404</v>
      </c>
      <c r="I13" s="16"/>
      <c r="J13" s="19">
        <f>SUM(B13:I13)</f>
        <v>6560520</v>
      </c>
    </row>
    <row r="14" spans="1:10" ht="25.5">
      <c r="A14" s="10" t="s">
        <v>77</v>
      </c>
      <c r="B14" s="15" t="s">
        <v>34</v>
      </c>
      <c r="C14" s="15"/>
      <c r="D14" s="15" t="s">
        <v>34</v>
      </c>
      <c r="E14" s="15"/>
      <c r="F14" s="15" t="s">
        <v>34</v>
      </c>
      <c r="G14" s="15"/>
      <c r="H14" s="12">
        <f>ОПУ!C16</f>
        <v>1569956</v>
      </c>
      <c r="I14" s="15"/>
      <c r="J14" s="12">
        <f>SUM(B14:I14)</f>
        <v>1569956</v>
      </c>
    </row>
    <row r="15" spans="1:10" ht="15">
      <c r="A15" s="62" t="s">
        <v>85</v>
      </c>
      <c r="B15" s="74"/>
      <c r="C15" s="74"/>
      <c r="D15" s="75"/>
      <c r="E15" s="74"/>
      <c r="F15" s="74"/>
      <c r="G15" s="74"/>
      <c r="H15" s="12"/>
      <c r="I15" s="74"/>
      <c r="J15" s="12">
        <f>SUM(B15:I15)</f>
        <v>0</v>
      </c>
    </row>
    <row r="16" spans="1:10" s="26" customFormat="1" ht="15.75" thickBot="1">
      <c r="A16" s="133" t="s">
        <v>108</v>
      </c>
      <c r="B16" s="47">
        <f>SUM(B13:B15)</f>
        <v>300000</v>
      </c>
      <c r="C16" s="70"/>
      <c r="D16" s="38">
        <f>SUM(D13:D15)</f>
        <v>5958510</v>
      </c>
      <c r="E16" s="90"/>
      <c r="F16" s="38">
        <f>SUM(F13:F15)</f>
        <v>182606</v>
      </c>
      <c r="G16" s="90"/>
      <c r="H16" s="47">
        <f>SUM(H13:H15)</f>
        <v>1689360</v>
      </c>
      <c r="I16" s="90"/>
      <c r="J16" s="38">
        <f>SUM(J13:J15)</f>
        <v>8130476</v>
      </c>
    </row>
    <row r="17" ht="15.75" thickTop="1"/>
    <row r="19" ht="15">
      <c r="D19" s="66"/>
    </row>
    <row r="22" ht="15">
      <c r="E22" s="12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2019-07-25T10:48:41Z</cp:lastPrinted>
  <dcterms:created xsi:type="dcterms:W3CDTF">2010-04-07T05:06:39Z</dcterms:created>
  <dcterms:modified xsi:type="dcterms:W3CDTF">2019-07-29T06:25:09Z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