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415" windowHeight="4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9" i="1"/>
  <c r="D209"/>
  <c r="C209"/>
  <c r="B209"/>
  <c r="A209"/>
  <c r="E208"/>
  <c r="D208"/>
  <c r="C208"/>
  <c r="B208"/>
  <c r="A208"/>
  <c r="E207"/>
  <c r="D207"/>
  <c r="C207"/>
  <c r="B207"/>
  <c r="A207"/>
  <c r="E206"/>
  <c r="D206"/>
  <c r="C206"/>
  <c r="B206"/>
  <c r="A206"/>
  <c r="E205"/>
  <c r="D205"/>
  <c r="C205"/>
  <c r="B205"/>
  <c r="A205"/>
  <c r="E204"/>
  <c r="D204"/>
  <c r="C204"/>
  <c r="B204"/>
  <c r="A204"/>
  <c r="E203"/>
  <c r="D203"/>
  <c r="C203"/>
  <c r="B203"/>
  <c r="A203"/>
  <c r="E202"/>
  <c r="D202"/>
  <c r="C202"/>
  <c r="B202"/>
  <c r="A202"/>
  <c r="E201"/>
  <c r="D201"/>
  <c r="C201"/>
  <c r="B201"/>
  <c r="A201"/>
  <c r="E200"/>
  <c r="D200"/>
  <c r="C200"/>
  <c r="B200"/>
  <c r="A200"/>
  <c r="E199"/>
  <c r="D199"/>
  <c r="C199"/>
  <c r="B199"/>
  <c r="A199"/>
  <c r="E198"/>
  <c r="D198"/>
  <c r="C198"/>
  <c r="B198"/>
  <c r="A198"/>
  <c r="E197"/>
  <c r="D197"/>
  <c r="C197"/>
  <c r="B197"/>
  <c r="A197"/>
  <c r="E196"/>
  <c r="D196"/>
  <c r="C196"/>
  <c r="B196"/>
  <c r="A196"/>
  <c r="E195"/>
  <c r="D195"/>
  <c r="C195"/>
  <c r="B195"/>
  <c r="A195"/>
  <c r="E194"/>
  <c r="D194"/>
  <c r="C194"/>
  <c r="B194"/>
  <c r="A194"/>
  <c r="E193"/>
  <c r="D193"/>
  <c r="C193"/>
  <c r="B193"/>
  <c r="A193"/>
  <c r="E192"/>
  <c r="D192"/>
  <c r="C192"/>
  <c r="B192"/>
  <c r="A192"/>
  <c r="E191"/>
  <c r="D191"/>
  <c r="C191"/>
  <c r="B191"/>
  <c r="A191"/>
  <c r="E190"/>
  <c r="D190"/>
  <c r="C190"/>
  <c r="B190"/>
  <c r="A190"/>
  <c r="E189"/>
  <c r="D189"/>
  <c r="C189"/>
  <c r="B189"/>
  <c r="A189"/>
  <c r="E188"/>
  <c r="D188"/>
  <c r="C188"/>
  <c r="B188"/>
  <c r="A188"/>
  <c r="E187"/>
  <c r="D187"/>
  <c r="C187"/>
  <c r="B187"/>
  <c r="A187"/>
  <c r="E186"/>
  <c r="D186"/>
  <c r="C186"/>
  <c r="B186"/>
  <c r="A186"/>
  <c r="E185"/>
  <c r="D185"/>
  <c r="C185"/>
  <c r="B185"/>
  <c r="A185"/>
  <c r="E184"/>
  <c r="D184"/>
  <c r="C184"/>
  <c r="B184"/>
  <c r="A184"/>
  <c r="E183"/>
  <c r="D183"/>
  <c r="C183"/>
  <c r="B183"/>
  <c r="A183"/>
  <c r="E182"/>
  <c r="D182"/>
  <c r="C182"/>
  <c r="B182"/>
  <c r="A182"/>
  <c r="E181"/>
  <c r="D181"/>
  <c r="C181"/>
  <c r="B181"/>
  <c r="A181"/>
  <c r="E180"/>
  <c r="D180"/>
  <c r="C180"/>
  <c r="B180"/>
  <c r="A180"/>
  <c r="E179"/>
  <c r="D179"/>
  <c r="C179"/>
  <c r="B179"/>
  <c r="A179"/>
  <c r="E178"/>
  <c r="D178"/>
  <c r="C178"/>
  <c r="B178"/>
  <c r="A178"/>
  <c r="E177"/>
  <c r="D177"/>
  <c r="C177"/>
  <c r="B177"/>
  <c r="A177"/>
  <c r="E176"/>
  <c r="D176"/>
  <c r="C176"/>
  <c r="B176"/>
  <c r="A176"/>
  <c r="E175"/>
  <c r="D175"/>
  <c r="C175"/>
  <c r="B175"/>
  <c r="A175"/>
  <c r="E174"/>
  <c r="D174"/>
  <c r="C174"/>
  <c r="B174"/>
  <c r="A174"/>
  <c r="E173"/>
  <c r="D173"/>
  <c r="C173"/>
  <c r="B173"/>
  <c r="A173"/>
  <c r="E172"/>
  <c r="D172"/>
  <c r="C172"/>
  <c r="B172"/>
  <c r="A172"/>
  <c r="E171"/>
  <c r="D171"/>
  <c r="C171"/>
  <c r="B171"/>
  <c r="A171"/>
  <c r="E170"/>
  <c r="D170"/>
  <c r="C170"/>
  <c r="B170"/>
  <c r="A170"/>
  <c r="E169"/>
  <c r="D169"/>
  <c r="C169"/>
  <c r="B169"/>
  <c r="A169"/>
  <c r="E168"/>
  <c r="D168"/>
  <c r="C168"/>
  <c r="B168"/>
  <c r="A168"/>
  <c r="E167"/>
  <c r="D167"/>
  <c r="C167"/>
  <c r="B167"/>
  <c r="A167"/>
  <c r="E166"/>
  <c r="D166"/>
  <c r="C166"/>
  <c r="B166"/>
  <c r="A166"/>
  <c r="E165"/>
  <c r="D165"/>
  <c r="C165"/>
  <c r="B165"/>
  <c r="A165"/>
  <c r="E164"/>
  <c r="D164"/>
  <c r="C164"/>
  <c r="B164"/>
  <c r="A164"/>
  <c r="E163"/>
  <c r="D163"/>
  <c r="C163"/>
  <c r="B163"/>
  <c r="A163"/>
  <c r="E162"/>
  <c r="D162"/>
  <c r="C162"/>
  <c r="B162"/>
  <c r="A162"/>
  <c r="E161"/>
  <c r="D161"/>
  <c r="C161"/>
  <c r="B161"/>
  <c r="A161"/>
  <c r="E160"/>
  <c r="D160"/>
  <c r="C160"/>
  <c r="B160"/>
  <c r="A160"/>
  <c r="E159"/>
  <c r="D159"/>
  <c r="C159"/>
  <c r="B159"/>
  <c r="A159"/>
  <c r="E158"/>
  <c r="D158"/>
  <c r="C158"/>
  <c r="B158"/>
  <c r="A158"/>
  <c r="E157"/>
  <c r="D157"/>
  <c r="C157"/>
  <c r="B157"/>
  <c r="A157"/>
  <c r="E156"/>
  <c r="D156"/>
  <c r="C156"/>
  <c r="B156"/>
  <c r="A156"/>
  <c r="E155"/>
  <c r="D155"/>
  <c r="C155"/>
  <c r="B155"/>
  <c r="A155"/>
  <c r="E154"/>
  <c r="D154"/>
  <c r="C154"/>
  <c r="B154"/>
  <c r="A154"/>
  <c r="E153"/>
  <c r="D153"/>
  <c r="C153"/>
  <c r="B153"/>
  <c r="A153"/>
  <c r="E152"/>
  <c r="D152"/>
  <c r="C152"/>
  <c r="B152"/>
  <c r="A152"/>
  <c r="E151"/>
  <c r="D151"/>
  <c r="C151"/>
  <c r="B151"/>
  <c r="A151"/>
  <c r="E150"/>
  <c r="D150"/>
  <c r="C150"/>
  <c r="B150"/>
  <c r="A150"/>
  <c r="E149"/>
  <c r="D149"/>
  <c r="C149"/>
  <c r="B149"/>
  <c r="A149"/>
  <c r="E148"/>
  <c r="D148"/>
  <c r="C148"/>
  <c r="B148"/>
  <c r="A148"/>
  <c r="E147"/>
  <c r="D147"/>
  <c r="C147"/>
  <c r="B147"/>
  <c r="A147"/>
  <c r="E146"/>
  <c r="D146"/>
  <c r="C146"/>
  <c r="B146"/>
  <c r="A146"/>
  <c r="E145"/>
  <c r="D145"/>
  <c r="C145"/>
  <c r="B145"/>
  <c r="A145"/>
  <c r="E144"/>
  <c r="D144"/>
  <c r="C144"/>
  <c r="B144"/>
  <c r="A144"/>
  <c r="E143"/>
  <c r="D143"/>
  <c r="C143"/>
  <c r="B143"/>
  <c r="A143"/>
  <c r="E142"/>
  <c r="D142"/>
  <c r="C142"/>
  <c r="B142"/>
  <c r="A142"/>
  <c r="E141"/>
  <c r="D141"/>
  <c r="C141"/>
  <c r="B141"/>
  <c r="A141"/>
  <c r="E140"/>
  <c r="D140"/>
  <c r="C140"/>
  <c r="B140"/>
  <c r="A140"/>
  <c r="E139"/>
  <c r="D139"/>
  <c r="C139"/>
  <c r="B139"/>
  <c r="A139"/>
  <c r="E138"/>
  <c r="D138"/>
  <c r="C138"/>
  <c r="B138"/>
  <c r="A138"/>
  <c r="E137"/>
  <c r="D137"/>
  <c r="C137"/>
  <c r="B137"/>
  <c r="A137"/>
  <c r="E136"/>
  <c r="D136"/>
  <c r="C136"/>
  <c r="B136"/>
  <c r="A136"/>
  <c r="E135"/>
  <c r="D135"/>
  <c r="C135"/>
  <c r="B135"/>
  <c r="A135"/>
  <c r="E134"/>
  <c r="D134"/>
  <c r="C134"/>
  <c r="B134"/>
  <c r="A134"/>
  <c r="E133"/>
  <c r="D133"/>
  <c r="C133"/>
  <c r="B133"/>
  <c r="A133"/>
  <c r="E132"/>
  <c r="D132"/>
  <c r="C132"/>
  <c r="B132"/>
  <c r="A132"/>
  <c r="E131"/>
  <c r="D131"/>
  <c r="C131"/>
  <c r="B131"/>
  <c r="A131"/>
  <c r="E130"/>
  <c r="D130"/>
  <c r="C130"/>
  <c r="B130"/>
  <c r="A130"/>
  <c r="E129"/>
  <c r="D129"/>
  <c r="C129"/>
  <c r="B129"/>
  <c r="A129"/>
  <c r="E128"/>
  <c r="D128"/>
  <c r="C128"/>
  <c r="B128"/>
  <c r="A128"/>
  <c r="E127"/>
  <c r="D127"/>
  <c r="C127"/>
  <c r="B127"/>
  <c r="A127"/>
  <c r="E126"/>
  <c r="D126"/>
  <c r="C126"/>
  <c r="B126"/>
  <c r="A126"/>
  <c r="E125"/>
  <c r="D125"/>
  <c r="C125"/>
  <c r="B125"/>
  <c r="A125"/>
  <c r="E124"/>
  <c r="D124"/>
  <c r="C124"/>
  <c r="B124"/>
  <c r="A124"/>
  <c r="E123"/>
  <c r="D123"/>
  <c r="C123"/>
  <c r="B123"/>
  <c r="A123"/>
  <c r="E122"/>
  <c r="D122"/>
  <c r="C122"/>
  <c r="B122"/>
  <c r="A122"/>
  <c r="E121"/>
  <c r="D121"/>
  <c r="C121"/>
  <c r="B121"/>
  <c r="A121"/>
  <c r="E120"/>
  <c r="D120"/>
  <c r="C120"/>
  <c r="B120"/>
  <c r="A120"/>
  <c r="E119"/>
  <c r="D119"/>
  <c r="C119"/>
  <c r="B119"/>
  <c r="A119"/>
  <c r="E118"/>
  <c r="D118"/>
  <c r="C118"/>
  <c r="B118"/>
  <c r="A118"/>
  <c r="E117"/>
  <c r="D117"/>
  <c r="C117"/>
  <c r="B117"/>
  <c r="A117"/>
  <c r="E116"/>
  <c r="D116"/>
  <c r="C116"/>
  <c r="B116"/>
  <c r="A116"/>
  <c r="E115"/>
  <c r="D115"/>
  <c r="C115"/>
  <c r="B115"/>
  <c r="A115"/>
  <c r="E114"/>
  <c r="D114"/>
  <c r="C114"/>
  <c r="B114"/>
  <c r="A114"/>
  <c r="E113"/>
  <c r="D113"/>
  <c r="C113"/>
  <c r="B113"/>
  <c r="A113"/>
  <c r="E112"/>
  <c r="D112"/>
  <c r="C112"/>
  <c r="B112"/>
  <c r="A112"/>
  <c r="E111"/>
  <c r="D111"/>
  <c r="C111"/>
  <c r="B111"/>
  <c r="A111"/>
  <c r="E110"/>
  <c r="D110"/>
  <c r="C110"/>
  <c r="B110"/>
  <c r="A110"/>
  <c r="E109"/>
  <c r="D109"/>
  <c r="C109"/>
  <c r="B109"/>
  <c r="A109"/>
  <c r="E108"/>
  <c r="D108"/>
  <c r="C108"/>
  <c r="B108"/>
  <c r="A108"/>
  <c r="E107"/>
  <c r="D107"/>
  <c r="C107"/>
  <c r="B107"/>
  <c r="A107"/>
  <c r="E106"/>
  <c r="D106"/>
  <c r="C106"/>
  <c r="B106"/>
  <c r="A106"/>
  <c r="E105"/>
  <c r="D105"/>
  <c r="C105"/>
  <c r="B105"/>
  <c r="A105"/>
  <c r="E104"/>
  <c r="D104"/>
  <c r="C104"/>
  <c r="B104"/>
  <c r="A104"/>
  <c r="E103"/>
  <c r="D103"/>
  <c r="C103"/>
  <c r="B103"/>
  <c r="A103"/>
  <c r="E102"/>
  <c r="D102"/>
  <c r="C102"/>
  <c r="B102"/>
  <c r="A102"/>
  <c r="E101"/>
  <c r="D101"/>
  <c r="C101"/>
  <c r="B101"/>
  <c r="A101"/>
  <c r="E100"/>
  <c r="D100"/>
  <c r="C100"/>
  <c r="B100"/>
  <c r="A100"/>
  <c r="E99"/>
  <c r="D99"/>
  <c r="C99"/>
  <c r="B99"/>
  <c r="A99"/>
  <c r="E98"/>
  <c r="D98"/>
  <c r="C98"/>
  <c r="B98"/>
  <c r="A98"/>
  <c r="E97"/>
  <c r="D97"/>
  <c r="C97"/>
  <c r="B97"/>
  <c r="A97"/>
  <c r="E96"/>
  <c r="D96"/>
  <c r="C96"/>
  <c r="B96"/>
  <c r="A96"/>
  <c r="E95"/>
  <c r="D95"/>
  <c r="C95"/>
  <c r="B95"/>
  <c r="A95"/>
  <c r="E94"/>
  <c r="D94"/>
  <c r="C94"/>
  <c r="B94"/>
  <c r="A94"/>
  <c r="E93"/>
  <c r="D93"/>
  <c r="C93"/>
  <c r="B93"/>
  <c r="A93"/>
  <c r="E92"/>
  <c r="D92"/>
  <c r="C92"/>
  <c r="B92"/>
  <c r="A92"/>
  <c r="E91"/>
  <c r="D91"/>
  <c r="C91"/>
  <c r="B91"/>
  <c r="A91"/>
  <c r="E90"/>
  <c r="D90"/>
  <c r="C90"/>
  <c r="B90"/>
  <c r="A90"/>
  <c r="E89"/>
  <c r="D89"/>
  <c r="C89"/>
  <c r="B89"/>
  <c r="A89"/>
  <c r="E88"/>
  <c r="D88"/>
  <c r="C88"/>
  <c r="B88"/>
  <c r="A88"/>
  <c r="E87"/>
  <c r="D87"/>
  <c r="C87"/>
  <c r="B87"/>
  <c r="A87"/>
  <c r="E86"/>
  <c r="D86"/>
  <c r="C86"/>
  <c r="B86"/>
  <c r="A86"/>
  <c r="E85"/>
  <c r="D85"/>
  <c r="C85"/>
  <c r="B85"/>
  <c r="A85"/>
  <c r="E84"/>
  <c r="D84"/>
  <c r="C84"/>
  <c r="B84"/>
  <c r="A84"/>
  <c r="E83"/>
  <c r="D83"/>
  <c r="C83"/>
  <c r="B83"/>
  <c r="A83"/>
  <c r="E82"/>
  <c r="D82"/>
  <c r="C82"/>
  <c r="B82"/>
  <c r="A82"/>
  <c r="E81"/>
  <c r="D81"/>
  <c r="C81"/>
  <c r="B81"/>
  <c r="A81"/>
  <c r="E80"/>
  <c r="D80"/>
  <c r="C80"/>
  <c r="B80"/>
  <c r="A80"/>
  <c r="E79"/>
  <c r="D79"/>
  <c r="C79"/>
  <c r="B79"/>
  <c r="A79"/>
  <c r="E78"/>
  <c r="D78"/>
  <c r="C78"/>
  <c r="B78"/>
  <c r="A78"/>
  <c r="E77"/>
  <c r="D77"/>
  <c r="C77"/>
  <c r="B77"/>
  <c r="A77"/>
  <c r="E76"/>
  <c r="D76"/>
  <c r="C76"/>
  <c r="B76"/>
  <c r="A76"/>
  <c r="E75"/>
  <c r="D75"/>
  <c r="C75"/>
  <c r="B75"/>
  <c r="A75"/>
  <c r="E74"/>
  <c r="D74"/>
  <c r="C74"/>
  <c r="B74"/>
  <c r="A74"/>
  <c r="E73"/>
  <c r="D73"/>
  <c r="C73"/>
  <c r="B73"/>
  <c r="A73"/>
  <c r="E72"/>
  <c r="D72"/>
  <c r="C72"/>
  <c r="B72"/>
  <c r="A72"/>
  <c r="E71"/>
  <c r="D71"/>
  <c r="C71"/>
  <c r="B71"/>
  <c r="A71"/>
  <c r="E70"/>
  <c r="D70"/>
  <c r="C70"/>
  <c r="B70"/>
  <c r="A70"/>
  <c r="E69"/>
  <c r="D69"/>
  <c r="C69"/>
  <c r="B69"/>
  <c r="A69"/>
  <c r="E68"/>
  <c r="D68"/>
  <c r="C68"/>
  <c r="B68"/>
  <c r="A68"/>
  <c r="E67"/>
  <c r="D67"/>
  <c r="C67"/>
  <c r="B67"/>
  <c r="A67"/>
  <c r="E66"/>
  <c r="D66"/>
  <c r="C66"/>
  <c r="B66"/>
  <c r="A66"/>
  <c r="E65"/>
  <c r="D65"/>
  <c r="C65"/>
  <c r="B65"/>
  <c r="A65"/>
  <c r="E64"/>
  <c r="D64"/>
  <c r="C64"/>
  <c r="B64"/>
  <c r="A64"/>
  <c r="E63"/>
  <c r="D63"/>
  <c r="C63"/>
  <c r="B63"/>
  <c r="A63"/>
  <c r="E62"/>
  <c r="D62"/>
  <c r="C62"/>
  <c r="B62"/>
  <c r="A62"/>
  <c r="E61"/>
  <c r="D61"/>
  <c r="C61"/>
  <c r="B61"/>
  <c r="A61"/>
  <c r="E60"/>
  <c r="D60"/>
  <c r="C60"/>
  <c r="B60"/>
  <c r="A60"/>
  <c r="E59"/>
  <c r="D59"/>
  <c r="C59"/>
  <c r="B59"/>
  <c r="A59"/>
  <c r="E58"/>
  <c r="D58"/>
  <c r="C58"/>
  <c r="B58"/>
  <c r="A58"/>
  <c r="E57"/>
  <c r="D57"/>
  <c r="C57"/>
  <c r="B57"/>
  <c r="A57"/>
  <c r="E56"/>
  <c r="D56"/>
  <c r="C56"/>
  <c r="B56"/>
  <c r="A56"/>
  <c r="E55"/>
  <c r="D55"/>
  <c r="C55"/>
  <c r="B55"/>
  <c r="A55"/>
  <c r="E54"/>
  <c r="D54"/>
  <c r="C54"/>
  <c r="B54"/>
  <c r="A54"/>
  <c r="E53"/>
  <c r="D53"/>
  <c r="C53"/>
  <c r="B53"/>
  <c r="A53"/>
  <c r="E52"/>
  <c r="D52"/>
  <c r="C52"/>
  <c r="B52"/>
  <c r="A52"/>
  <c r="E51"/>
  <c r="D51"/>
  <c r="C51"/>
  <c r="B51"/>
  <c r="A51"/>
  <c r="E50"/>
  <c r="D50"/>
  <c r="C50"/>
  <c r="B50"/>
  <c r="A50"/>
  <c r="E49"/>
  <c r="D49"/>
  <c r="C49"/>
  <c r="B49"/>
  <c r="A49"/>
  <c r="E48"/>
  <c r="D48"/>
  <c r="C48"/>
  <c r="B48"/>
  <c r="A48"/>
  <c r="E47"/>
  <c r="D47"/>
  <c r="C47"/>
  <c r="B47"/>
  <c r="A47"/>
  <c r="E46"/>
  <c r="D46"/>
  <c r="C46"/>
  <c r="B46"/>
  <c r="A46"/>
  <c r="E45"/>
  <c r="D45"/>
  <c r="C45"/>
  <c r="B45"/>
  <c r="A45"/>
  <c r="E44"/>
  <c r="D44"/>
  <c r="C44"/>
  <c r="B44"/>
  <c r="A44"/>
  <c r="E43"/>
  <c r="D43"/>
  <c r="C43"/>
  <c r="B43"/>
  <c r="A43"/>
  <c r="E42"/>
  <c r="D42"/>
  <c r="C42"/>
  <c r="B42"/>
  <c r="A42"/>
  <c r="E41"/>
  <c r="D41"/>
  <c r="C41"/>
  <c r="B41"/>
  <c r="A41"/>
  <c r="E40"/>
  <c r="D40"/>
  <c r="C40"/>
  <c r="B40"/>
  <c r="A40"/>
  <c r="E39"/>
  <c r="D39"/>
  <c r="C39"/>
  <c r="B39"/>
  <c r="A39"/>
  <c r="E38"/>
  <c r="D38"/>
  <c r="C38"/>
  <c r="B38"/>
  <c r="A38"/>
  <c r="E37"/>
  <c r="D37"/>
  <c r="C37"/>
  <c r="B37"/>
  <c r="A37"/>
  <c r="E36"/>
  <c r="D36"/>
  <c r="C36"/>
  <c r="B36"/>
  <c r="A36"/>
  <c r="E35"/>
  <c r="D35"/>
  <c r="C35"/>
  <c r="B35"/>
  <c r="A35"/>
  <c r="E34"/>
  <c r="D34"/>
  <c r="C34"/>
  <c r="B34"/>
  <c r="A34"/>
  <c r="E33"/>
  <c r="D33"/>
  <c r="C33"/>
  <c r="B33"/>
  <c r="A33"/>
  <c r="E32"/>
  <c r="D32"/>
  <c r="C32"/>
  <c r="B32"/>
  <c r="A32"/>
  <c r="E31"/>
  <c r="D31"/>
  <c r="C31"/>
  <c r="B31"/>
  <c r="A31"/>
  <c r="E30"/>
  <c r="D30"/>
  <c r="C30"/>
  <c r="B30"/>
  <c r="A30"/>
  <c r="E29"/>
  <c r="D29"/>
  <c r="C29"/>
  <c r="B29"/>
  <c r="A29"/>
  <c r="E28"/>
  <c r="D28"/>
  <c r="C28"/>
  <c r="B28"/>
  <c r="A28"/>
  <c r="E27"/>
  <c r="D27"/>
  <c r="C27"/>
  <c r="B27"/>
  <c r="A27"/>
  <c r="E26"/>
  <c r="D26"/>
  <c r="C26"/>
  <c r="B26"/>
  <c r="A26"/>
  <c r="E25"/>
  <c r="D25"/>
  <c r="C25"/>
  <c r="B25"/>
  <c r="A25"/>
  <c r="E24"/>
  <c r="D24"/>
  <c r="C24"/>
  <c r="B24"/>
  <c r="A24"/>
  <c r="E23"/>
  <c r="D23"/>
  <c r="C23"/>
  <c r="B23"/>
  <c r="A23"/>
  <c r="E22"/>
  <c r="D22"/>
  <c r="C22"/>
  <c r="B22"/>
  <c r="A22"/>
  <c r="E21"/>
  <c r="D21"/>
  <c r="C21"/>
  <c r="B21"/>
  <c r="A21"/>
  <c r="E20"/>
  <c r="D20"/>
  <c r="C20"/>
  <c r="B20"/>
  <c r="A20"/>
  <c r="E19"/>
  <c r="D19"/>
  <c r="C19"/>
  <c r="B19"/>
  <c r="A19"/>
  <c r="E18"/>
  <c r="D18"/>
  <c r="C18"/>
  <c r="B18"/>
  <c r="A18"/>
  <c r="E17"/>
  <c r="D17"/>
  <c r="C17"/>
  <c r="B17"/>
  <c r="A17"/>
  <c r="E16"/>
  <c r="D16"/>
  <c r="C16"/>
  <c r="B16"/>
  <c r="A16"/>
  <c r="E15"/>
  <c r="D15"/>
  <c r="C15"/>
  <c r="B15"/>
  <c r="A15"/>
  <c r="E14"/>
  <c r="D14"/>
  <c r="C14"/>
  <c r="B14"/>
  <c r="A14"/>
  <c r="E13"/>
  <c r="D13"/>
  <c r="C13"/>
  <c r="B13"/>
  <c r="A13"/>
  <c r="E12"/>
  <c r="D12"/>
  <c r="C12"/>
  <c r="B12"/>
  <c r="A12"/>
  <c r="E11"/>
  <c r="D11"/>
  <c r="C11"/>
  <c r="B11"/>
  <c r="A11"/>
  <c r="E10"/>
  <c r="D10"/>
  <c r="C10"/>
  <c r="B10"/>
  <c r="A10"/>
  <c r="E9"/>
  <c r="D9"/>
  <c r="C9"/>
  <c r="B9"/>
  <c r="A9"/>
  <c r="E8"/>
  <c r="D8"/>
  <c r="C8"/>
  <c r="B8"/>
  <c r="A8"/>
  <c r="E7"/>
  <c r="D7"/>
  <c r="C7"/>
  <c r="B7"/>
  <c r="A7"/>
</calcChain>
</file>

<file path=xl/sharedStrings.xml><?xml version="1.0" encoding="utf-8"?>
<sst xmlns="http://schemas.openxmlformats.org/spreadsheetml/2006/main" count="20" uniqueCount="20">
  <si>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</si>
  <si>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</si>
  <si>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</si>
  <si>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</si>
  <si>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</si>
  <si>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</si>
  <si>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 xml:space="preserve">   Отчет об остатках на балансовых и внебалансовых счетах</t>
  </si>
  <si>
    <t xml:space="preserve">                                  АО ДБ "Банк Китая в Казахстане"</t>
  </si>
  <si>
    <t xml:space="preserve">                                                            за 30 июня  2023 года</t>
  </si>
  <si>
    <t>Наименование                     АО ДБ "Банк Китая в Казахстане"</t>
  </si>
  <si>
    <t>Адрес г.Алматы, м-н Жетысу 2, дом 71 Б</t>
  </si>
  <si>
    <t/>
  </si>
  <si>
    <t>Телефон 2585510</t>
  </si>
  <si>
    <t>Адрес электронной почты  boc@bankofchina.kz</t>
  </si>
  <si>
    <t>Исполнитель  Исаева Тоты _______________</t>
  </si>
  <si>
    <t>2585510 вн.1132</t>
  </si>
  <si>
    <t xml:space="preserve">Руководитель или лицо, на которое возложена функция по подписанию отчета     </t>
  </si>
  <si>
    <t>Ли Инцай     _____________</t>
  </si>
  <si>
    <t>2585510 вн.1102</t>
  </si>
  <si>
    <t>Дата             1 июля   2023 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</si>
</sst>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9"/>
  <sheetViews>
    <sheetView tabSelected="1" workbookViewId="0">
      <selection activeCell="B4" sqref="B4"/>
    </sheetView>
  </sheetViews>
  <sheetFormatPr defaultRowHeight="15"/>
  <cols>
    <col min="2" max="2" width="18.5703125" customWidth="1"/>
    <col min="6" max="6" width="18" customWidth="1"/>
  </cols>
  <sheetData>
    <row r="2" spans="1:6" ht="15.75">
      <c r="B2" s="5" t="s">
        <v>6</v>
      </c>
      <c r="F2" s="1"/>
    </row>
    <row r="3" spans="1:6">
      <c r="B3" t="s">
        <v>7</v>
      </c>
      <c r="F3" s="1"/>
    </row>
    <row r="4" spans="1:6">
      <c r="B4" s="6" t="s">
        <v>8</v>
      </c>
      <c r="C4" s="7"/>
      <c r="D4" s="7"/>
      <c r="E4" s="7"/>
      <c r="F4" s="7"/>
    </row>
    <row r="6" spans="1:6" ht="60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>
      <c r="A7" s="3" t="str">
        <f>"1001"</f>
        <v>1001</v>
      </c>
      <c r="B7" s="3" t="str">
        <f>"Наличность в кассе"</f>
        <v>Наличность в кассе</v>
      </c>
      <c r="C7" s="3" t="str">
        <f>"1"</f>
        <v>1</v>
      </c>
      <c r="D7" s="3" t="str">
        <f>"3"</f>
        <v>3</v>
      </c>
      <c r="E7" s="3" t="str">
        <f>"1"</f>
        <v>1</v>
      </c>
      <c r="F7" s="4">
        <v>306281058</v>
      </c>
    </row>
    <row r="8" spans="1:6">
      <c r="A8" s="3" t="str">
        <f>"1001"</f>
        <v>1001</v>
      </c>
      <c r="B8" s="3" t="str">
        <f>"Наличность в кассе"</f>
        <v>Наличность в кассе</v>
      </c>
      <c r="C8" s="3" t="str">
        <f>"2"</f>
        <v>2</v>
      </c>
      <c r="D8" s="3" t="str">
        <f>"3"</f>
        <v>3</v>
      </c>
      <c r="E8" s="3" t="str">
        <f>"2"</f>
        <v>2</v>
      </c>
      <c r="F8" s="4">
        <v>627719968.94000006</v>
      </c>
    </row>
    <row r="9" spans="1:6">
      <c r="A9" s="3" t="str">
        <f>"1051"</f>
        <v>1051</v>
      </c>
      <c r="B9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9" s="3" t="str">
        <f>"1"</f>
        <v>1</v>
      </c>
      <c r="D9" s="3" t="str">
        <f>"3"</f>
        <v>3</v>
      </c>
      <c r="E9" s="3" t="str">
        <f>"1"</f>
        <v>1</v>
      </c>
      <c r="F9" s="4">
        <v>14646680294.549999</v>
      </c>
    </row>
    <row r="10" spans="1:6">
      <c r="A10" s="3" t="str">
        <f>"1051"</f>
        <v>1051</v>
      </c>
      <c r="B10" s="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0" s="3" t="str">
        <f>"1"</f>
        <v>1</v>
      </c>
      <c r="D10" s="3" t="str">
        <f>"3"</f>
        <v>3</v>
      </c>
      <c r="E10" s="3" t="str">
        <f>"2"</f>
        <v>2</v>
      </c>
      <c r="F10" s="4">
        <v>44000483223.360001</v>
      </c>
    </row>
    <row r="11" spans="1:6">
      <c r="A11" s="3" t="str">
        <f>"1052"</f>
        <v>1052</v>
      </c>
      <c r="B11" s="3" t="str">
        <f>"Корреспондентские счета в других банках"</f>
        <v>Корреспондентские счета в других банках</v>
      </c>
      <c r="C11" s="3" t="str">
        <f>"1"</f>
        <v>1</v>
      </c>
      <c r="D11" s="3" t="str">
        <f>"4"</f>
        <v>4</v>
      </c>
      <c r="E11" s="3" t="str">
        <f>"2"</f>
        <v>2</v>
      </c>
      <c r="F11" s="4">
        <v>100987001.51000001</v>
      </c>
    </row>
    <row r="12" spans="1:6">
      <c r="A12" s="3" t="str">
        <f>"1052"</f>
        <v>1052</v>
      </c>
      <c r="B12" s="3" t="str">
        <f>"Корреспондентские счета в других банках"</f>
        <v>Корреспондентские счета в других банках</v>
      </c>
      <c r="C12" s="3" t="str">
        <f>"2"</f>
        <v>2</v>
      </c>
      <c r="D12" s="3" t="str">
        <f>"4"</f>
        <v>4</v>
      </c>
      <c r="E12" s="3" t="str">
        <f>"2"</f>
        <v>2</v>
      </c>
      <c r="F12" s="4">
        <v>64443345045.599998</v>
      </c>
    </row>
    <row r="13" spans="1:6">
      <c r="A13" s="3" t="str">
        <f>"1052"</f>
        <v>1052</v>
      </c>
      <c r="B13" s="3" t="str">
        <f>"Корреспондентские счета в других банках"</f>
        <v>Корреспондентские счета в других банках</v>
      </c>
      <c r="C13" s="3" t="str">
        <f>"2"</f>
        <v>2</v>
      </c>
      <c r="D13" s="3" t="str">
        <f>"4"</f>
        <v>4</v>
      </c>
      <c r="E13" s="3" t="str">
        <f>"3"</f>
        <v>3</v>
      </c>
      <c r="F13" s="4">
        <v>6636213.3399999999</v>
      </c>
    </row>
    <row r="14" spans="1:6">
      <c r="A14" s="3" t="str">
        <f>"1054"</f>
        <v>1054</v>
      </c>
      <c r="B14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4" s="3" t="str">
        <f>"1"</f>
        <v>1</v>
      </c>
      <c r="D14" s="3" t="str">
        <f>"3"</f>
        <v>3</v>
      </c>
      <c r="E14" s="3" t="str">
        <f>"1"</f>
        <v>1</v>
      </c>
      <c r="F14" s="4">
        <v>-24302.01</v>
      </c>
    </row>
    <row r="15" spans="1:6">
      <c r="A15" s="3" t="str">
        <f>"1054"</f>
        <v>1054</v>
      </c>
      <c r="B15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5" s="3" t="str">
        <f>"1"</f>
        <v>1</v>
      </c>
      <c r="D15" s="3" t="str">
        <f>"3"</f>
        <v>3</v>
      </c>
      <c r="E15" s="3" t="str">
        <f>"2"</f>
        <v>2</v>
      </c>
      <c r="F15" s="4">
        <v>-1969853.23</v>
      </c>
    </row>
    <row r="16" spans="1:6">
      <c r="A16" s="3" t="str">
        <f>"1054"</f>
        <v>1054</v>
      </c>
      <c r="B16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6" s="3" t="str">
        <f>"1"</f>
        <v>1</v>
      </c>
      <c r="D16" s="3" t="str">
        <f>"4"</f>
        <v>4</v>
      </c>
      <c r="E16" s="3" t="str">
        <f>"2"</f>
        <v>2</v>
      </c>
      <c r="F16" s="4">
        <v>-204.38</v>
      </c>
    </row>
    <row r="17" spans="1:6">
      <c r="A17" s="3" t="str">
        <f>"1054"</f>
        <v>1054</v>
      </c>
      <c r="B17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7" s="3" t="str">
        <f>"2"</f>
        <v>2</v>
      </c>
      <c r="D17" s="3" t="str">
        <f>"4"</f>
        <v>4</v>
      </c>
      <c r="E17" s="3" t="str">
        <f>"2"</f>
        <v>2</v>
      </c>
      <c r="F17" s="4">
        <v>-28740.06</v>
      </c>
    </row>
    <row r="18" spans="1:6">
      <c r="A18" s="3" t="str">
        <f>"1054"</f>
        <v>1054</v>
      </c>
      <c r="B18" s="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18" s="3" t="str">
        <f>"2"</f>
        <v>2</v>
      </c>
      <c r="D18" s="3" t="str">
        <f>"4"</f>
        <v>4</v>
      </c>
      <c r="E18" s="3" t="str">
        <f>"3"</f>
        <v>3</v>
      </c>
      <c r="F18" s="4">
        <v>-5.6</v>
      </c>
    </row>
    <row r="19" spans="1:6">
      <c r="A19" s="3" t="str">
        <f>"1103"</f>
        <v>1103</v>
      </c>
      <c r="B19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19" s="3" t="str">
        <f>"1"</f>
        <v>1</v>
      </c>
      <c r="D19" s="3" t="str">
        <f>"3"</f>
        <v>3</v>
      </c>
      <c r="E19" s="3" t="str">
        <f>"1"</f>
        <v>1</v>
      </c>
      <c r="F19" s="4">
        <v>97000000000</v>
      </c>
    </row>
    <row r="20" spans="1:6">
      <c r="A20" s="3" t="str">
        <f>"1103"</f>
        <v>1103</v>
      </c>
      <c r="B20" s="3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0" s="3" t="str">
        <f>"1"</f>
        <v>1</v>
      </c>
      <c r="D20" s="3" t="str">
        <f>"3"</f>
        <v>3</v>
      </c>
      <c r="E20" s="3" t="str">
        <f>"2"</f>
        <v>2</v>
      </c>
      <c r="F20" s="4">
        <v>49776100000</v>
      </c>
    </row>
    <row r="21" spans="1:6">
      <c r="A21" s="3" t="str">
        <f>"1267"</f>
        <v>1267</v>
      </c>
      <c r="B21" s="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21" s="3" t="str">
        <f>"1"</f>
        <v>1</v>
      </c>
      <c r="D21" s="3" t="str">
        <f>"5"</f>
        <v>5</v>
      </c>
      <c r="E21" s="3" t="str">
        <f>"1"</f>
        <v>1</v>
      </c>
      <c r="F21" s="4">
        <v>1024995726.85</v>
      </c>
    </row>
    <row r="22" spans="1:6">
      <c r="A22" s="3" t="str">
        <f>"1417"</f>
        <v>1417</v>
      </c>
      <c r="B22" s="3" t="str">
        <f>"Долгосрочные займы, предоставленные клиентам"</f>
        <v>Долгосрочные займы, предоставленные клиентам</v>
      </c>
      <c r="C22" s="3" t="str">
        <f>"1"</f>
        <v>1</v>
      </c>
      <c r="D22" s="3" t="str">
        <f>"5"</f>
        <v>5</v>
      </c>
      <c r="E22" s="3" t="str">
        <f>"1"</f>
        <v>1</v>
      </c>
      <c r="F22" s="4">
        <v>12770833333.33</v>
      </c>
    </row>
    <row r="23" spans="1:6">
      <c r="A23" s="3" t="str">
        <f>"1417"</f>
        <v>1417</v>
      </c>
      <c r="B23" s="3" t="str">
        <f>"Долгосрочные займы, предоставленные клиентам"</f>
        <v>Долгосрочные займы, предоставленные клиентам</v>
      </c>
      <c r="C23" s="3" t="str">
        <f>"1"</f>
        <v>1</v>
      </c>
      <c r="D23" s="3" t="str">
        <f>"7"</f>
        <v>7</v>
      </c>
      <c r="E23" s="3" t="str">
        <f>"1"</f>
        <v>1</v>
      </c>
      <c r="F23" s="4">
        <v>23600000000</v>
      </c>
    </row>
    <row r="24" spans="1:6">
      <c r="A24" s="3" t="str">
        <f>"1417"</f>
        <v>1417</v>
      </c>
      <c r="B24" s="3" t="str">
        <f>"Долгосрочные займы, предоставленные клиентам"</f>
        <v>Долгосрочные займы, предоставленные клиентам</v>
      </c>
      <c r="C24" s="3" t="str">
        <f>"1"</f>
        <v>1</v>
      </c>
      <c r="D24" s="3" t="str">
        <f>"7"</f>
        <v>7</v>
      </c>
      <c r="E24" s="3" t="str">
        <f>"2"</f>
        <v>2</v>
      </c>
      <c r="F24" s="4">
        <v>3620080000</v>
      </c>
    </row>
    <row r="25" spans="1:6">
      <c r="A25" s="3" t="str">
        <f>"1417"</f>
        <v>1417</v>
      </c>
      <c r="B25" s="3" t="str">
        <f>"Долгосрочные займы, предоставленные клиентам"</f>
        <v>Долгосрочные займы, предоставленные клиентам</v>
      </c>
      <c r="C25" s="3" t="str">
        <f>"1"</f>
        <v>1</v>
      </c>
      <c r="D25" s="3" t="str">
        <f>"9"</f>
        <v>9</v>
      </c>
      <c r="E25" s="3" t="str">
        <f>"1"</f>
        <v>1</v>
      </c>
      <c r="F25" s="4">
        <v>11083827.59</v>
      </c>
    </row>
    <row r="26" spans="1:6">
      <c r="A26" s="3" t="str">
        <f>"1428"</f>
        <v>1428</v>
      </c>
      <c r="B26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6" s="3" t="str">
        <f>"1"</f>
        <v>1</v>
      </c>
      <c r="D26" s="3" t="str">
        <f>"5"</f>
        <v>5</v>
      </c>
      <c r="E26" s="3" t="str">
        <f>"1"</f>
        <v>1</v>
      </c>
      <c r="F26" s="4">
        <v>-3520787.51</v>
      </c>
    </row>
    <row r="27" spans="1:6">
      <c r="A27" s="3" t="str">
        <f>"1428"</f>
        <v>1428</v>
      </c>
      <c r="B27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7" s="3" t="str">
        <f>"1"</f>
        <v>1</v>
      </c>
      <c r="D27" s="3" t="str">
        <f>"7"</f>
        <v>7</v>
      </c>
      <c r="E27" s="3" t="str">
        <f>"1"</f>
        <v>1</v>
      </c>
      <c r="F27" s="4">
        <v>-9539237.6199999992</v>
      </c>
    </row>
    <row r="28" spans="1:6">
      <c r="A28" s="3" t="str">
        <f>"1428"</f>
        <v>1428</v>
      </c>
      <c r="B28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8" s="3" t="str">
        <f>"1"</f>
        <v>1</v>
      </c>
      <c r="D28" s="3" t="str">
        <f>"7"</f>
        <v>7</v>
      </c>
      <c r="E28" s="3" t="str">
        <f>"2"</f>
        <v>2</v>
      </c>
      <c r="F28" s="4">
        <v>-5754338.8899999997</v>
      </c>
    </row>
    <row r="29" spans="1:6">
      <c r="A29" s="3" t="str">
        <f>"1428"</f>
        <v>1428</v>
      </c>
      <c r="B29" s="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29" s="3" t="str">
        <f>"1"</f>
        <v>1</v>
      </c>
      <c r="D29" s="3" t="str">
        <f>"9"</f>
        <v>9</v>
      </c>
      <c r="E29" s="3" t="str">
        <f>"1"</f>
        <v>1</v>
      </c>
      <c r="F29" s="4">
        <v>-599.14</v>
      </c>
    </row>
    <row r="30" spans="1:6">
      <c r="A30" s="3" t="str">
        <f>"1481"</f>
        <v>1481</v>
      </c>
      <c r="B30" s="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C30" s="3" t="str">
        <f>"1"</f>
        <v>1</v>
      </c>
      <c r="D30" s="3" t="str">
        <f>"1"</f>
        <v>1</v>
      </c>
      <c r="E30" s="3" t="str">
        <f>"2"</f>
        <v>2</v>
      </c>
      <c r="F30" s="4">
        <v>57138437700</v>
      </c>
    </row>
    <row r="31" spans="1:6">
      <c r="A31" s="3" t="str">
        <f>"1483"</f>
        <v>1483</v>
      </c>
      <c r="B31" s="3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31" s="3" t="str">
        <f>"1"</f>
        <v>1</v>
      </c>
      <c r="D31" s="3" t="str">
        <f>"1"</f>
        <v>1</v>
      </c>
      <c r="E31" s="3" t="str">
        <f>"2"</f>
        <v>2</v>
      </c>
      <c r="F31" s="4">
        <v>2257816899.25</v>
      </c>
    </row>
    <row r="32" spans="1:6">
      <c r="A32" s="3" t="str">
        <f>"1486"</f>
        <v>1486</v>
      </c>
      <c r="B32" s="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32" s="3" t="str">
        <f>"1"</f>
        <v>1</v>
      </c>
      <c r="D32" s="3" t="str">
        <f>"1"</f>
        <v>1</v>
      </c>
      <c r="E32" s="3" t="str">
        <f>"2"</f>
        <v>2</v>
      </c>
      <c r="F32" s="4">
        <v>-49497295.009999998</v>
      </c>
    </row>
    <row r="33" spans="1:6">
      <c r="A33" s="3" t="str">
        <f>"1602"</f>
        <v>1602</v>
      </c>
      <c r="B33" s="3" t="str">
        <f>"Прочие запасы"</f>
        <v>Прочие запасы</v>
      </c>
      <c r="C33" s="3" t="str">
        <f>""</f>
        <v/>
      </c>
      <c r="D33" s="3" t="str">
        <f>""</f>
        <v/>
      </c>
      <c r="E33" s="3" t="str">
        <f>""</f>
        <v/>
      </c>
      <c r="F33" s="4">
        <v>1031045.56</v>
      </c>
    </row>
    <row r="34" spans="1:6">
      <c r="A34" s="3" t="str">
        <f>"1652"</f>
        <v>1652</v>
      </c>
      <c r="B34" s="3" t="str">
        <f>"Земля, здания и сооружения"</f>
        <v>Земля, здания и сооружения</v>
      </c>
      <c r="C34" s="3" t="str">
        <f>""</f>
        <v/>
      </c>
      <c r="D34" s="3" t="str">
        <f>""</f>
        <v/>
      </c>
      <c r="E34" s="3" t="str">
        <f>""</f>
        <v/>
      </c>
      <c r="F34" s="4">
        <v>2651797770.5300002</v>
      </c>
    </row>
    <row r="35" spans="1:6">
      <c r="A35" s="3" t="str">
        <f>"1653"</f>
        <v>1653</v>
      </c>
      <c r="B35" s="3" t="str">
        <f>"Компьютерное оборудование"</f>
        <v>Компьютерное оборудование</v>
      </c>
      <c r="C35" s="3" t="str">
        <f>""</f>
        <v/>
      </c>
      <c r="D35" s="3" t="str">
        <f>""</f>
        <v/>
      </c>
      <c r="E35" s="3" t="str">
        <f>""</f>
        <v/>
      </c>
      <c r="F35" s="4">
        <v>298937153.20999998</v>
      </c>
    </row>
    <row r="36" spans="1:6">
      <c r="A36" s="3" t="str">
        <f>"1654"</f>
        <v>1654</v>
      </c>
      <c r="B36" s="3" t="str">
        <f>"Прочие основные средства"</f>
        <v>Прочие основные средства</v>
      </c>
      <c r="C36" s="3" t="str">
        <f>""</f>
        <v/>
      </c>
      <c r="D36" s="3" t="str">
        <f>""</f>
        <v/>
      </c>
      <c r="E36" s="3" t="str">
        <f>""</f>
        <v/>
      </c>
      <c r="F36" s="4">
        <v>231239417.19</v>
      </c>
    </row>
    <row r="37" spans="1:6">
      <c r="A37" s="3" t="str">
        <f>"1655"</f>
        <v>1655</v>
      </c>
      <c r="B37" s="3" t="str">
        <f>"Активы в форме права пользования"</f>
        <v>Активы в форме права пользования</v>
      </c>
      <c r="C37" s="3" t="str">
        <f>""</f>
        <v/>
      </c>
      <c r="D37" s="3" t="str">
        <f>""</f>
        <v/>
      </c>
      <c r="E37" s="3" t="str">
        <f>""</f>
        <v/>
      </c>
      <c r="F37" s="4">
        <v>88793850</v>
      </c>
    </row>
    <row r="38" spans="1:6">
      <c r="A38" s="3" t="str">
        <f>"1658"</f>
        <v>1658</v>
      </c>
      <c r="B38" s="3" t="str">
        <f>"Транспортные средства"</f>
        <v>Транспортные средства</v>
      </c>
      <c r="C38" s="3" t="str">
        <f>""</f>
        <v/>
      </c>
      <c r="D38" s="3" t="str">
        <f>""</f>
        <v/>
      </c>
      <c r="E38" s="3" t="str">
        <f>""</f>
        <v/>
      </c>
      <c r="F38" s="4">
        <v>79774610</v>
      </c>
    </row>
    <row r="39" spans="1:6">
      <c r="A39" s="3" t="str">
        <f>"1659"</f>
        <v>1659</v>
      </c>
      <c r="B39" s="3" t="str">
        <f>"Нематериальные активы"</f>
        <v>Нематериальные активы</v>
      </c>
      <c r="C39" s="3" t="str">
        <f>""</f>
        <v/>
      </c>
      <c r="D39" s="3" t="str">
        <f>""</f>
        <v/>
      </c>
      <c r="E39" s="3" t="str">
        <f>""</f>
        <v/>
      </c>
      <c r="F39" s="4">
        <v>302686113.83999997</v>
      </c>
    </row>
    <row r="40" spans="1:6">
      <c r="A40" s="3" t="str">
        <f>"1692"</f>
        <v>1692</v>
      </c>
      <c r="B40" s="3" t="str">
        <f>"Начисленная амортизация по зданиям и сооружениям"</f>
        <v>Начисленная амортизация по зданиям и сооружениям</v>
      </c>
      <c r="C40" s="3" t="str">
        <f>""</f>
        <v/>
      </c>
      <c r="D40" s="3" t="str">
        <f>""</f>
        <v/>
      </c>
      <c r="E40" s="3" t="str">
        <f>""</f>
        <v/>
      </c>
      <c r="F40" s="4">
        <v>-634065534.90999997</v>
      </c>
    </row>
    <row r="41" spans="1:6">
      <c r="A41" s="3" t="str">
        <f>"1693"</f>
        <v>1693</v>
      </c>
      <c r="B41" s="3" t="str">
        <f>"Начисленная амортизация по компьютерному оборудованию"</f>
        <v>Начисленная амортизация по компьютерному оборудованию</v>
      </c>
      <c r="C41" s="3" t="str">
        <f>""</f>
        <v/>
      </c>
      <c r="D41" s="3" t="str">
        <f>""</f>
        <v/>
      </c>
      <c r="E41" s="3" t="str">
        <f>""</f>
        <v/>
      </c>
      <c r="F41" s="4">
        <v>-215378465.21000001</v>
      </c>
    </row>
    <row r="42" spans="1:6">
      <c r="A42" s="3" t="str">
        <f>"1694"</f>
        <v>1694</v>
      </c>
      <c r="B42" s="3" t="str">
        <f>"Начисленная амортизация по прочим основным средствам"</f>
        <v>Начисленная амортизация по прочим основным средствам</v>
      </c>
      <c r="C42" s="3" t="str">
        <f>""</f>
        <v/>
      </c>
      <c r="D42" s="3" t="str">
        <f>""</f>
        <v/>
      </c>
      <c r="E42" s="3" t="str">
        <f>""</f>
        <v/>
      </c>
      <c r="F42" s="4">
        <v>-171541356.15000001</v>
      </c>
    </row>
    <row r="43" spans="1:6">
      <c r="A43" s="3" t="str">
        <f>"1695"</f>
        <v>1695</v>
      </c>
      <c r="B43" s="3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43" s="3" t="str">
        <f>""</f>
        <v/>
      </c>
      <c r="D43" s="3" t="str">
        <f>""</f>
        <v/>
      </c>
      <c r="E43" s="3" t="str">
        <f>""</f>
        <v/>
      </c>
      <c r="F43" s="4">
        <v>-79914447</v>
      </c>
    </row>
    <row r="44" spans="1:6">
      <c r="A44" s="3" t="str">
        <f>"1698"</f>
        <v>1698</v>
      </c>
      <c r="B44" s="3" t="str">
        <f>"Начисленная амортизация по транспортным средствам"</f>
        <v>Начисленная амортизация по транспортным средствам</v>
      </c>
      <c r="C44" s="3" t="str">
        <f>""</f>
        <v/>
      </c>
      <c r="D44" s="3" t="str">
        <f>""</f>
        <v/>
      </c>
      <c r="E44" s="3" t="str">
        <f>""</f>
        <v/>
      </c>
      <c r="F44" s="4">
        <v>-70693903.260000005</v>
      </c>
    </row>
    <row r="45" spans="1:6">
      <c r="A45" s="3" t="str">
        <f>"1699"</f>
        <v>1699</v>
      </c>
      <c r="B45" s="3" t="str">
        <f>"Начисленная амортизация по нематериальным активам"</f>
        <v>Начисленная амортизация по нематериальным активам</v>
      </c>
      <c r="C45" s="3" t="str">
        <f>""</f>
        <v/>
      </c>
      <c r="D45" s="3" t="str">
        <f>""</f>
        <v/>
      </c>
      <c r="E45" s="3" t="str">
        <f>""</f>
        <v/>
      </c>
      <c r="F45" s="4">
        <v>-165694224.72</v>
      </c>
    </row>
    <row r="46" spans="1:6">
      <c r="A46" s="3" t="str">
        <f>"1710"</f>
        <v>1710</v>
      </c>
      <c r="B46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6" s="3" t="str">
        <f>"1"</f>
        <v>1</v>
      </c>
      <c r="D46" s="3" t="str">
        <f>"3"</f>
        <v>3</v>
      </c>
      <c r="E46" s="3" t="str">
        <f>"1"</f>
        <v>1</v>
      </c>
      <c r="F46" s="4">
        <v>57770833.340000004</v>
      </c>
    </row>
    <row r="47" spans="1:6">
      <c r="A47" s="3" t="str">
        <f>"1710"</f>
        <v>1710</v>
      </c>
      <c r="B47" s="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47" s="3" t="str">
        <f>"1"</f>
        <v>1</v>
      </c>
      <c r="D47" s="3" t="str">
        <f>"3"</f>
        <v>3</v>
      </c>
      <c r="E47" s="3" t="str">
        <f>"2"</f>
        <v>2</v>
      </c>
      <c r="F47" s="4">
        <v>92220280.019999996</v>
      </c>
    </row>
    <row r="48" spans="1:6">
      <c r="A48" s="3" t="str">
        <f>"1740"</f>
        <v>1740</v>
      </c>
      <c r="B48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8" s="3" t="str">
        <f>"1"</f>
        <v>1</v>
      </c>
      <c r="D48" s="3" t="str">
        <f>"5"</f>
        <v>5</v>
      </c>
      <c r="E48" s="3" t="str">
        <f>"1"</f>
        <v>1</v>
      </c>
      <c r="F48" s="4">
        <v>43728518.520000003</v>
      </c>
    </row>
    <row r="49" spans="1:6">
      <c r="A49" s="3" t="str">
        <f>"1740"</f>
        <v>1740</v>
      </c>
      <c r="B49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49" s="3" t="str">
        <f>"1"</f>
        <v>1</v>
      </c>
      <c r="D49" s="3" t="str">
        <f>"7"</f>
        <v>7</v>
      </c>
      <c r="E49" s="3" t="str">
        <f>"1"</f>
        <v>1</v>
      </c>
      <c r="F49" s="4">
        <v>155149652.78</v>
      </c>
    </row>
    <row r="50" spans="1:6">
      <c r="A50" s="3" t="str">
        <f>"1740"</f>
        <v>1740</v>
      </c>
      <c r="B50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0" s="3" t="str">
        <f>"1"</f>
        <v>1</v>
      </c>
      <c r="D50" s="3" t="str">
        <f>"7"</f>
        <v>7</v>
      </c>
      <c r="E50" s="3" t="str">
        <f>"2"</f>
        <v>2</v>
      </c>
      <c r="F50" s="4">
        <v>7240160</v>
      </c>
    </row>
    <row r="51" spans="1:6">
      <c r="A51" s="3" t="str">
        <f>"1740"</f>
        <v>1740</v>
      </c>
      <c r="B51" s="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51" s="3" t="str">
        <f>"1"</f>
        <v>1</v>
      </c>
      <c r="D51" s="3" t="str">
        <f>"9"</f>
        <v>9</v>
      </c>
      <c r="E51" s="3" t="str">
        <f>"1"</f>
        <v>1</v>
      </c>
      <c r="F51" s="4">
        <v>49179.87</v>
      </c>
    </row>
    <row r="52" spans="1:6">
      <c r="A52" s="3" t="str">
        <f>"1745"</f>
        <v>1745</v>
      </c>
      <c r="B52" s="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52" s="3" t="str">
        <f>"1"</f>
        <v>1</v>
      </c>
      <c r="D52" s="3" t="str">
        <f>"1"</f>
        <v>1</v>
      </c>
      <c r="E52" s="3" t="str">
        <f>"2"</f>
        <v>2</v>
      </c>
      <c r="F52" s="4">
        <v>1309620929.1099999</v>
      </c>
    </row>
    <row r="53" spans="1:6">
      <c r="A53" s="3" t="str">
        <f>"1793"</f>
        <v>1793</v>
      </c>
      <c r="B53" s="3" t="str">
        <f>"Расходы будущих периодов"</f>
        <v>Расходы будущих периодов</v>
      </c>
      <c r="C53" s="3" t="str">
        <f>"1"</f>
        <v>1</v>
      </c>
      <c r="D53" s="3" t="str">
        <f>"7"</f>
        <v>7</v>
      </c>
      <c r="E53" s="3" t="str">
        <f>"1"</f>
        <v>1</v>
      </c>
      <c r="F53" s="4">
        <v>21255210.579999998</v>
      </c>
    </row>
    <row r="54" spans="1:6">
      <c r="A54" s="3" t="str">
        <f>"1851"</f>
        <v>1851</v>
      </c>
      <c r="B54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4" s="3" t="str">
        <f>"1"</f>
        <v>1</v>
      </c>
      <c r="D54" s="3" t="str">
        <f>"1"</f>
        <v>1</v>
      </c>
      <c r="E54" s="3" t="str">
        <f>"1"</f>
        <v>1</v>
      </c>
      <c r="F54" s="4">
        <v>11734262.960000001</v>
      </c>
    </row>
    <row r="55" spans="1:6">
      <c r="A55" s="3" t="str">
        <f>"1854"</f>
        <v>1854</v>
      </c>
      <c r="B55" s="3" t="str">
        <f>"Расчеты с работниками"</f>
        <v>Расчеты с работниками</v>
      </c>
      <c r="C55" s="3" t="str">
        <f>""</f>
        <v/>
      </c>
      <c r="D55" s="3" t="str">
        <f>""</f>
        <v/>
      </c>
      <c r="E55" s="3" t="str">
        <f>""</f>
        <v/>
      </c>
      <c r="F55" s="4">
        <v>35115</v>
      </c>
    </row>
    <row r="56" spans="1:6">
      <c r="A56" s="3" t="str">
        <f>"1856"</f>
        <v>1856</v>
      </c>
      <c r="B56" s="3" t="str">
        <f>"Дебиторы по капитальным вложениям"</f>
        <v>Дебиторы по капитальным вложениям</v>
      </c>
      <c r="C56" s="3" t="str">
        <f>"1"</f>
        <v>1</v>
      </c>
      <c r="D56" s="3" t="str">
        <f>"7"</f>
        <v>7</v>
      </c>
      <c r="E56" s="3" t="str">
        <f>"1"</f>
        <v>1</v>
      </c>
      <c r="F56" s="4">
        <v>43659945</v>
      </c>
    </row>
    <row r="57" spans="1:6">
      <c r="A57" s="3" t="str">
        <f>"1857"</f>
        <v>1857</v>
      </c>
      <c r="B57" s="3" t="str">
        <f>"Отложенные налоговые активы"</f>
        <v>Отложенные налоговые активы</v>
      </c>
      <c r="C57" s="3" t="str">
        <f>""</f>
        <v/>
      </c>
      <c r="D57" s="3" t="str">
        <f>""</f>
        <v/>
      </c>
      <c r="E57" s="3" t="str">
        <f>""</f>
        <v/>
      </c>
      <c r="F57" s="4">
        <v>14616000</v>
      </c>
    </row>
    <row r="58" spans="1:6">
      <c r="A58" s="3" t="str">
        <f>"1860"</f>
        <v>1860</v>
      </c>
      <c r="B58" s="3" t="str">
        <f>"Прочие дебиторы по банковской деятельности"</f>
        <v>Прочие дебиторы по банковской деятельности</v>
      </c>
      <c r="C58" s="3" t="str">
        <f>"1"</f>
        <v>1</v>
      </c>
      <c r="D58" s="3" t="str">
        <f>"7"</f>
        <v>7</v>
      </c>
      <c r="E58" s="3" t="str">
        <f>"1"</f>
        <v>1</v>
      </c>
      <c r="F58" s="4">
        <v>10866446.689999999</v>
      </c>
    </row>
    <row r="59" spans="1:6">
      <c r="A59" s="3" t="str">
        <f>"1860"</f>
        <v>1860</v>
      </c>
      <c r="B59" s="3" t="str">
        <f>"Прочие дебиторы по банковской деятельности"</f>
        <v>Прочие дебиторы по банковской деятельности</v>
      </c>
      <c r="C59" s="3" t="str">
        <f>"1"</f>
        <v>1</v>
      </c>
      <c r="D59" s="3" t="str">
        <f>"7"</f>
        <v>7</v>
      </c>
      <c r="E59" s="3" t="str">
        <f>"2"</f>
        <v>2</v>
      </c>
      <c r="F59" s="4">
        <v>402733.9</v>
      </c>
    </row>
    <row r="60" spans="1:6">
      <c r="A60" s="3" t="str">
        <f>"1867"</f>
        <v>1867</v>
      </c>
      <c r="B60" s="3" t="str">
        <f>"Прочие дебиторы по неосновной деятельности"</f>
        <v>Прочие дебиторы по неосновной деятельности</v>
      </c>
      <c r="C60" s="3" t="str">
        <f>"1"</f>
        <v>1</v>
      </c>
      <c r="D60" s="3" t="str">
        <f>"7"</f>
        <v>7</v>
      </c>
      <c r="E60" s="3" t="str">
        <f>"1"</f>
        <v>1</v>
      </c>
      <c r="F60" s="4">
        <v>32091577.940000001</v>
      </c>
    </row>
    <row r="61" spans="1:6">
      <c r="A61" s="3" t="str">
        <f>"1877"</f>
        <v>1877</v>
      </c>
      <c r="B61" s="3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61" s="3" t="str">
        <f>"1"</f>
        <v>1</v>
      </c>
      <c r="D61" s="3" t="str">
        <f>"7"</f>
        <v>7</v>
      </c>
      <c r="E61" s="3" t="str">
        <f>"1"</f>
        <v>1</v>
      </c>
      <c r="F61" s="4">
        <v>-10866446.689999999</v>
      </c>
    </row>
    <row r="62" spans="1:6">
      <c r="A62" s="3" t="str">
        <f>"1894"</f>
        <v>1894</v>
      </c>
      <c r="B62" s="3" t="str">
        <f>"Требования по операциям спот"</f>
        <v>Требования по операциям спот</v>
      </c>
      <c r="C62" s="3" t="str">
        <f>"1"</f>
        <v>1</v>
      </c>
      <c r="D62" s="3" t="str">
        <f>"5"</f>
        <v>5</v>
      </c>
      <c r="E62" s="3" t="str">
        <f>"1"</f>
        <v>1</v>
      </c>
      <c r="F62" s="4">
        <v>7779147.2400000002</v>
      </c>
    </row>
    <row r="63" spans="1:6">
      <c r="A63" s="3" t="str">
        <f>"1894"</f>
        <v>1894</v>
      </c>
      <c r="B63" s="3" t="str">
        <f>"Требования по операциям спот"</f>
        <v>Требования по операциям спот</v>
      </c>
      <c r="C63" s="3" t="str">
        <f>"2"</f>
        <v>2</v>
      </c>
      <c r="D63" s="3" t="str">
        <f>"4"</f>
        <v>4</v>
      </c>
      <c r="E63" s="3" t="str">
        <f>"1"</f>
        <v>1</v>
      </c>
      <c r="F63" s="4">
        <v>178360.22</v>
      </c>
    </row>
    <row r="64" spans="1:6">
      <c r="A64" s="3" t="str">
        <f>"2013"</f>
        <v>2013</v>
      </c>
      <c r="B64" s="3" t="str">
        <f>"Корреспондентские счета других банков"</f>
        <v>Корреспондентские счета других банков</v>
      </c>
      <c r="C64" s="3" t="str">
        <f>"1"</f>
        <v>1</v>
      </c>
      <c r="D64" s="3" t="str">
        <f>"4"</f>
        <v>4</v>
      </c>
      <c r="E64" s="3" t="str">
        <f>"2"</f>
        <v>2</v>
      </c>
      <c r="F64" s="4">
        <v>25668164887.700001</v>
      </c>
    </row>
    <row r="65" spans="1:6">
      <c r="A65" s="3" t="str">
        <f>"2013"</f>
        <v>2013</v>
      </c>
      <c r="B65" s="3" t="str">
        <f>"Корреспондентские счета других банков"</f>
        <v>Корреспондентские счета других банков</v>
      </c>
      <c r="C65" s="3" t="str">
        <f>"2"</f>
        <v>2</v>
      </c>
      <c r="D65" s="3" t="str">
        <f>"4"</f>
        <v>4</v>
      </c>
      <c r="E65" s="3" t="str">
        <f>"1"</f>
        <v>1</v>
      </c>
      <c r="F65" s="4">
        <v>218791964.43000001</v>
      </c>
    </row>
    <row r="66" spans="1:6">
      <c r="A66" s="3" t="str">
        <f>"2013"</f>
        <v>2013</v>
      </c>
      <c r="B66" s="3" t="str">
        <f>"Корреспондентские счета других банков"</f>
        <v>Корреспондентские счета других банков</v>
      </c>
      <c r="C66" s="3" t="str">
        <f>"2"</f>
        <v>2</v>
      </c>
      <c r="D66" s="3" t="str">
        <f>"4"</f>
        <v>4</v>
      </c>
      <c r="E66" s="3" t="str">
        <f>"2"</f>
        <v>2</v>
      </c>
      <c r="F66" s="4">
        <v>48079.02</v>
      </c>
    </row>
    <row r="67" spans="1:6">
      <c r="A67" s="3" t="str">
        <f>"2014"</f>
        <v>2014</v>
      </c>
      <c r="B67" s="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67" s="3" t="str">
        <f>"1"</f>
        <v>1</v>
      </c>
      <c r="D67" s="3" t="str">
        <f>"5"</f>
        <v>5</v>
      </c>
      <c r="E67" s="3" t="str">
        <f>"2"</f>
        <v>2</v>
      </c>
      <c r="F67" s="4">
        <v>6231000000</v>
      </c>
    </row>
    <row r="68" spans="1:6">
      <c r="A68" s="3" t="str">
        <f>"2203"</f>
        <v>2203</v>
      </c>
      <c r="B68" s="3" t="str">
        <f>"Текущие счета юридических лиц"</f>
        <v>Текущие счета юридических лиц</v>
      </c>
      <c r="C68" s="3" t="str">
        <f>"1"</f>
        <v>1</v>
      </c>
      <c r="D68" s="3" t="str">
        <f>"5"</f>
        <v>5</v>
      </c>
      <c r="E68" s="3" t="str">
        <f>"1"</f>
        <v>1</v>
      </c>
      <c r="F68" s="4">
        <v>9545710.4399999995</v>
      </c>
    </row>
    <row r="69" spans="1:6">
      <c r="A69" s="3" t="str">
        <f>"2203"</f>
        <v>2203</v>
      </c>
      <c r="B69" s="3" t="str">
        <f>"Текущие счета юридических лиц"</f>
        <v>Текущие счета юридических лиц</v>
      </c>
      <c r="C69" s="3" t="str">
        <f>"1"</f>
        <v>1</v>
      </c>
      <c r="D69" s="3" t="str">
        <f>"5"</f>
        <v>5</v>
      </c>
      <c r="E69" s="3" t="str">
        <f>"2"</f>
        <v>2</v>
      </c>
      <c r="F69" s="4">
        <v>181161642.21000001</v>
      </c>
    </row>
    <row r="70" spans="1:6">
      <c r="A70" s="3" t="str">
        <f>"2203"</f>
        <v>2203</v>
      </c>
      <c r="B70" s="3" t="str">
        <f>"Текущие счета юридических лиц"</f>
        <v>Текущие счета юридических лиц</v>
      </c>
      <c r="C70" s="3" t="str">
        <f>"1"</f>
        <v>1</v>
      </c>
      <c r="D70" s="3" t="str">
        <f>"6"</f>
        <v>6</v>
      </c>
      <c r="E70" s="3" t="str">
        <f>"1"</f>
        <v>1</v>
      </c>
      <c r="F70" s="4">
        <v>9356008.4000000004</v>
      </c>
    </row>
    <row r="71" spans="1:6">
      <c r="A71" s="3" t="str">
        <f>"2203"</f>
        <v>2203</v>
      </c>
      <c r="B71" s="3" t="str">
        <f>"Текущие счета юридических лиц"</f>
        <v>Текущие счета юридических лиц</v>
      </c>
      <c r="C71" s="3" t="str">
        <f>"1"</f>
        <v>1</v>
      </c>
      <c r="D71" s="3" t="str">
        <f>"6"</f>
        <v>6</v>
      </c>
      <c r="E71" s="3" t="str">
        <f>"2"</f>
        <v>2</v>
      </c>
      <c r="F71" s="4">
        <v>12018783.25</v>
      </c>
    </row>
    <row r="72" spans="1:6">
      <c r="A72" s="3" t="str">
        <f>"2203"</f>
        <v>2203</v>
      </c>
      <c r="B72" s="3" t="str">
        <f>"Текущие счета юридических лиц"</f>
        <v>Текущие счета юридических лиц</v>
      </c>
      <c r="C72" s="3" t="str">
        <f>"1"</f>
        <v>1</v>
      </c>
      <c r="D72" s="3" t="str">
        <f>"7"</f>
        <v>7</v>
      </c>
      <c r="E72" s="3" t="str">
        <f>"1"</f>
        <v>1</v>
      </c>
      <c r="F72" s="4">
        <v>34788979255.760002</v>
      </c>
    </row>
    <row r="73" spans="1:6">
      <c r="A73" s="3" t="str">
        <f>"2203"</f>
        <v>2203</v>
      </c>
      <c r="B73" s="3" t="str">
        <f>"Текущие счета юридических лиц"</f>
        <v>Текущие счета юридических лиц</v>
      </c>
      <c r="C73" s="3" t="str">
        <f>"1"</f>
        <v>1</v>
      </c>
      <c r="D73" s="3" t="str">
        <f>"7"</f>
        <v>7</v>
      </c>
      <c r="E73" s="3" t="str">
        <f>"2"</f>
        <v>2</v>
      </c>
      <c r="F73" s="4">
        <v>106977882778.09</v>
      </c>
    </row>
    <row r="74" spans="1:6">
      <c r="A74" s="3" t="str">
        <f>"2203"</f>
        <v>2203</v>
      </c>
      <c r="B74" s="3" t="str">
        <f>"Текущие счета юридических лиц"</f>
        <v>Текущие счета юридических лиц</v>
      </c>
      <c r="C74" s="3" t="str">
        <f>"1"</f>
        <v>1</v>
      </c>
      <c r="D74" s="3" t="str">
        <f>"7"</f>
        <v>7</v>
      </c>
      <c r="E74" s="3" t="str">
        <f>"3"</f>
        <v>3</v>
      </c>
      <c r="F74" s="4">
        <v>125622.37</v>
      </c>
    </row>
    <row r="75" spans="1:6">
      <c r="A75" s="3" t="str">
        <f>"2203"</f>
        <v>2203</v>
      </c>
      <c r="B75" s="3" t="str">
        <f>"Текущие счета юридических лиц"</f>
        <v>Текущие счета юридических лиц</v>
      </c>
      <c r="C75" s="3" t="str">
        <f>"1"</f>
        <v>1</v>
      </c>
      <c r="D75" s="3" t="str">
        <f>"8"</f>
        <v>8</v>
      </c>
      <c r="E75" s="3" t="str">
        <f>"1"</f>
        <v>1</v>
      </c>
      <c r="F75" s="4">
        <v>28495870.309999999</v>
      </c>
    </row>
    <row r="76" spans="1:6">
      <c r="A76" s="3" t="str">
        <f>"2203"</f>
        <v>2203</v>
      </c>
      <c r="B76" s="3" t="str">
        <f>"Текущие счета юридических лиц"</f>
        <v>Текущие счета юридических лиц</v>
      </c>
      <c r="C76" s="3" t="str">
        <f>"2"</f>
        <v>2</v>
      </c>
      <c r="D76" s="3" t="str">
        <f>"6"</f>
        <v>6</v>
      </c>
      <c r="E76" s="3" t="str">
        <f>"1"</f>
        <v>1</v>
      </c>
      <c r="F76" s="4">
        <v>6748399.6100000003</v>
      </c>
    </row>
    <row r="77" spans="1:6">
      <c r="A77" s="3" t="str">
        <f>"2203"</f>
        <v>2203</v>
      </c>
      <c r="B77" s="3" t="str">
        <f>"Текущие счета юридических лиц"</f>
        <v>Текущие счета юридических лиц</v>
      </c>
      <c r="C77" s="3" t="str">
        <f>"2"</f>
        <v>2</v>
      </c>
      <c r="D77" s="3" t="str">
        <f>"6"</f>
        <v>6</v>
      </c>
      <c r="E77" s="3" t="str">
        <f>"2"</f>
        <v>2</v>
      </c>
      <c r="F77" s="4">
        <v>96216659.040000007</v>
      </c>
    </row>
    <row r="78" spans="1:6">
      <c r="A78" s="3" t="str">
        <f>"2203"</f>
        <v>2203</v>
      </c>
      <c r="B78" s="3" t="str">
        <f>"Текущие счета юридических лиц"</f>
        <v>Текущие счета юридических лиц</v>
      </c>
      <c r="C78" s="3" t="str">
        <f>"2"</f>
        <v>2</v>
      </c>
      <c r="D78" s="3" t="str">
        <f>"7"</f>
        <v>7</v>
      </c>
      <c r="E78" s="3" t="str">
        <f>"1"</f>
        <v>1</v>
      </c>
      <c r="F78" s="4">
        <v>21211607.870000001</v>
      </c>
    </row>
    <row r="79" spans="1:6">
      <c r="A79" s="3" t="str">
        <f>"2203"</f>
        <v>2203</v>
      </c>
      <c r="B79" s="3" t="str">
        <f>"Текущие счета юридических лиц"</f>
        <v>Текущие счета юридических лиц</v>
      </c>
      <c r="C79" s="3" t="str">
        <f>"2"</f>
        <v>2</v>
      </c>
      <c r="D79" s="3" t="str">
        <f>"7"</f>
        <v>7</v>
      </c>
      <c r="E79" s="3" t="str">
        <f>"2"</f>
        <v>2</v>
      </c>
      <c r="F79" s="4">
        <v>91649936.420000002</v>
      </c>
    </row>
    <row r="80" spans="1:6">
      <c r="A80" s="3" t="str">
        <f>"2204"</f>
        <v>2204</v>
      </c>
      <c r="B80" s="3" t="str">
        <f>"Текущие счета физических лиц"</f>
        <v>Текущие счета физических лиц</v>
      </c>
      <c r="C80" s="3" t="str">
        <f>"1"</f>
        <v>1</v>
      </c>
      <c r="D80" s="3" t="str">
        <f>"9"</f>
        <v>9</v>
      </c>
      <c r="E80" s="3" t="str">
        <f>"1"</f>
        <v>1</v>
      </c>
      <c r="F80" s="4">
        <v>35087456.390000001</v>
      </c>
    </row>
    <row r="81" spans="1:6">
      <c r="A81" s="3" t="str">
        <f>"2204"</f>
        <v>2204</v>
      </c>
      <c r="B81" s="3" t="str">
        <f>"Текущие счета физических лиц"</f>
        <v>Текущие счета физических лиц</v>
      </c>
      <c r="C81" s="3" t="str">
        <f>"1"</f>
        <v>1</v>
      </c>
      <c r="D81" s="3" t="str">
        <f>"9"</f>
        <v>9</v>
      </c>
      <c r="E81" s="3" t="str">
        <f>"2"</f>
        <v>2</v>
      </c>
      <c r="F81" s="4">
        <v>236020600.33000001</v>
      </c>
    </row>
    <row r="82" spans="1:6">
      <c r="A82" s="3" t="str">
        <f>"2204"</f>
        <v>2204</v>
      </c>
      <c r="B82" s="3" t="str">
        <f>"Текущие счета физических лиц"</f>
        <v>Текущие счета физических лиц</v>
      </c>
      <c r="C82" s="3" t="str">
        <f>"2"</f>
        <v>2</v>
      </c>
      <c r="D82" s="3" t="str">
        <f>"9"</f>
        <v>9</v>
      </c>
      <c r="E82" s="3" t="str">
        <f>"1"</f>
        <v>1</v>
      </c>
      <c r="F82" s="4">
        <v>2317606737.8899999</v>
      </c>
    </row>
    <row r="83" spans="1:6">
      <c r="A83" s="3" t="str">
        <f>"2204"</f>
        <v>2204</v>
      </c>
      <c r="B83" s="3" t="str">
        <f>"Текущие счета физических лиц"</f>
        <v>Текущие счета физических лиц</v>
      </c>
      <c r="C83" s="3" t="str">
        <f>"2"</f>
        <v>2</v>
      </c>
      <c r="D83" s="3" t="str">
        <f>"9"</f>
        <v>9</v>
      </c>
      <c r="E83" s="3" t="str">
        <f>"2"</f>
        <v>2</v>
      </c>
      <c r="F83" s="4">
        <v>312725648.61000001</v>
      </c>
    </row>
    <row r="84" spans="1:6">
      <c r="A84" s="3" t="str">
        <f>"2205"</f>
        <v>2205</v>
      </c>
      <c r="B84" s="3" t="str">
        <f>"Вклады до востребования физических лиц"</f>
        <v>Вклады до востребования физических лиц</v>
      </c>
      <c r="C84" s="3" t="str">
        <f>"1"</f>
        <v>1</v>
      </c>
      <c r="D84" s="3" t="str">
        <f>"9"</f>
        <v>9</v>
      </c>
      <c r="E84" s="3" t="str">
        <f>"1"</f>
        <v>1</v>
      </c>
      <c r="F84" s="4">
        <v>50198.34</v>
      </c>
    </row>
    <row r="85" spans="1:6">
      <c r="A85" s="3" t="str">
        <f>"2205"</f>
        <v>2205</v>
      </c>
      <c r="B85" s="3" t="str">
        <f>"Вклады до востребования физических лиц"</f>
        <v>Вклады до востребования физических лиц</v>
      </c>
      <c r="C85" s="3" t="str">
        <f>"1"</f>
        <v>1</v>
      </c>
      <c r="D85" s="3" t="str">
        <f>"9"</f>
        <v>9</v>
      </c>
      <c r="E85" s="3" t="str">
        <f>"2"</f>
        <v>2</v>
      </c>
      <c r="F85" s="4">
        <v>99999766.239999995</v>
      </c>
    </row>
    <row r="86" spans="1:6">
      <c r="A86" s="3" t="str">
        <f>"2205"</f>
        <v>2205</v>
      </c>
      <c r="B86" s="3" t="str">
        <f>"Вклады до востребования физических лиц"</f>
        <v>Вклады до востребования физических лиц</v>
      </c>
      <c r="C86" s="3" t="str">
        <f>"2"</f>
        <v>2</v>
      </c>
      <c r="D86" s="3" t="str">
        <f>"9"</f>
        <v>9</v>
      </c>
      <c r="E86" s="3" t="str">
        <f>"1"</f>
        <v>1</v>
      </c>
      <c r="F86" s="4">
        <v>19133121.16</v>
      </c>
    </row>
    <row r="87" spans="1:6">
      <c r="A87" s="3" t="str">
        <f>"2205"</f>
        <v>2205</v>
      </c>
      <c r="B87" s="3" t="str">
        <f>"Вклады до востребования физических лиц"</f>
        <v>Вклады до востребования физических лиц</v>
      </c>
      <c r="C87" s="3" t="str">
        <f>"2"</f>
        <v>2</v>
      </c>
      <c r="D87" s="3" t="str">
        <f>"9"</f>
        <v>9</v>
      </c>
      <c r="E87" s="3" t="str">
        <f>"2"</f>
        <v>2</v>
      </c>
      <c r="F87" s="4">
        <v>150117644.88999999</v>
      </c>
    </row>
    <row r="88" spans="1:6">
      <c r="A88" s="3" t="str">
        <f>"2206"</f>
        <v>2206</v>
      </c>
      <c r="B88" s="3" t="str">
        <f>"Краткосрочные вклады физических лиц"</f>
        <v>Краткосрочные вклады физических лиц</v>
      </c>
      <c r="C88" s="3" t="str">
        <f>"1"</f>
        <v>1</v>
      </c>
      <c r="D88" s="3" t="str">
        <f>"9"</f>
        <v>9</v>
      </c>
      <c r="E88" s="3" t="str">
        <f>"1"</f>
        <v>1</v>
      </c>
      <c r="F88" s="4">
        <v>2433116.35</v>
      </c>
    </row>
    <row r="89" spans="1:6">
      <c r="A89" s="3" t="str">
        <f>"2206"</f>
        <v>2206</v>
      </c>
      <c r="B89" s="3" t="str">
        <f>"Краткосрочные вклады физических лиц"</f>
        <v>Краткосрочные вклады физических лиц</v>
      </c>
      <c r="C89" s="3" t="str">
        <f>"1"</f>
        <v>1</v>
      </c>
      <c r="D89" s="3" t="str">
        <f>"9"</f>
        <v>9</v>
      </c>
      <c r="E89" s="3" t="str">
        <f>"2"</f>
        <v>2</v>
      </c>
      <c r="F89" s="4">
        <v>53389985.740000002</v>
      </c>
    </row>
    <row r="90" spans="1:6">
      <c r="A90" s="3" t="str">
        <f>"2206"</f>
        <v>2206</v>
      </c>
      <c r="B90" s="3" t="str">
        <f>"Краткосрочные вклады физических лиц"</f>
        <v>Краткосрочные вклады физических лиц</v>
      </c>
      <c r="C90" s="3" t="str">
        <f>"2"</f>
        <v>2</v>
      </c>
      <c r="D90" s="3" t="str">
        <f>"9"</f>
        <v>9</v>
      </c>
      <c r="E90" s="3" t="str">
        <f>"2"</f>
        <v>2</v>
      </c>
      <c r="F90" s="4">
        <v>16556381.58</v>
      </c>
    </row>
    <row r="91" spans="1:6">
      <c r="A91" s="3" t="str">
        <f>"2208"</f>
        <v>2208</v>
      </c>
      <c r="B91" s="3" t="str">
        <f>"Условные вклады физических лиц"</f>
        <v>Условные вклады физических лиц</v>
      </c>
      <c r="C91" s="3" t="str">
        <f>"2"</f>
        <v>2</v>
      </c>
      <c r="D91" s="3" t="str">
        <f>"9"</f>
        <v>9</v>
      </c>
      <c r="E91" s="3" t="str">
        <f>"2"</f>
        <v>2</v>
      </c>
      <c r="F91" s="4">
        <v>104077.3</v>
      </c>
    </row>
    <row r="92" spans="1:6">
      <c r="A92" s="3" t="str">
        <f>"2215"</f>
        <v>2215</v>
      </c>
      <c r="B92" s="3" t="str">
        <f>"Краткосрочные вклады юридических лиц"</f>
        <v>Краткосрочные вклады юридических лиц</v>
      </c>
      <c r="C92" s="3" t="str">
        <f>"1"</f>
        <v>1</v>
      </c>
      <c r="D92" s="3" t="str">
        <f>"6"</f>
        <v>6</v>
      </c>
      <c r="E92" s="3" t="str">
        <f>"2"</f>
        <v>2</v>
      </c>
      <c r="F92" s="4">
        <v>24469271638.459999</v>
      </c>
    </row>
    <row r="93" spans="1:6">
      <c r="A93" s="3" t="str">
        <f>"2215"</f>
        <v>2215</v>
      </c>
      <c r="B93" s="3" t="str">
        <f>"Краткосрочные вклады юридических лиц"</f>
        <v>Краткосрочные вклады юридических лиц</v>
      </c>
      <c r="C93" s="3" t="str">
        <f>"1"</f>
        <v>1</v>
      </c>
      <c r="D93" s="3" t="str">
        <f>"7"</f>
        <v>7</v>
      </c>
      <c r="E93" s="3" t="str">
        <f>"1"</f>
        <v>1</v>
      </c>
      <c r="F93" s="4">
        <v>19299706155.57</v>
      </c>
    </row>
    <row r="94" spans="1:6">
      <c r="A94" s="3" t="str">
        <f>"2215"</f>
        <v>2215</v>
      </c>
      <c r="B94" s="3" t="str">
        <f>"Краткосрочные вклады юридических лиц"</f>
        <v>Краткосрочные вклады юридических лиц</v>
      </c>
      <c r="C94" s="3" t="str">
        <f>"1"</f>
        <v>1</v>
      </c>
      <c r="D94" s="3" t="str">
        <f>"7"</f>
        <v>7</v>
      </c>
      <c r="E94" s="3" t="str">
        <f>"2"</f>
        <v>2</v>
      </c>
      <c r="F94" s="4">
        <v>28130246623.349998</v>
      </c>
    </row>
    <row r="95" spans="1:6">
      <c r="A95" s="3" t="str">
        <f>"2219"</f>
        <v>2219</v>
      </c>
      <c r="B95" s="3" t="str">
        <f>"Условные вклады юридических лиц"</f>
        <v>Условные вклады юридических лиц</v>
      </c>
      <c r="C95" s="3" t="str">
        <f>"1"</f>
        <v>1</v>
      </c>
      <c r="D95" s="3" t="str">
        <f>"6"</f>
        <v>6</v>
      </c>
      <c r="E95" s="3" t="str">
        <f>"1"</f>
        <v>1</v>
      </c>
      <c r="F95" s="4">
        <v>32335.599999999999</v>
      </c>
    </row>
    <row r="96" spans="1:6">
      <c r="A96" s="3" t="str">
        <f>"2219"</f>
        <v>2219</v>
      </c>
      <c r="B96" s="3" t="str">
        <f>"Условные вклады юридических лиц"</f>
        <v>Условные вклады юридических лиц</v>
      </c>
      <c r="C96" s="3" t="str">
        <f>"1"</f>
        <v>1</v>
      </c>
      <c r="D96" s="3" t="str">
        <f>"7"</f>
        <v>7</v>
      </c>
      <c r="E96" s="3" t="str">
        <f>"1"</f>
        <v>1</v>
      </c>
      <c r="F96" s="4">
        <v>7148359151.9300003</v>
      </c>
    </row>
    <row r="97" spans="1:6">
      <c r="A97" s="3" t="str">
        <f>"2219"</f>
        <v>2219</v>
      </c>
      <c r="B97" s="3" t="str">
        <f>"Условные вклады юридических лиц"</f>
        <v>Условные вклады юридических лиц</v>
      </c>
      <c r="C97" s="3" t="str">
        <f>"1"</f>
        <v>1</v>
      </c>
      <c r="D97" s="3" t="str">
        <f>"7"</f>
        <v>7</v>
      </c>
      <c r="E97" s="3" t="str">
        <f>"2"</f>
        <v>2</v>
      </c>
      <c r="F97" s="4">
        <v>23861852469.259998</v>
      </c>
    </row>
    <row r="98" spans="1:6">
      <c r="A98" s="3" t="str">
        <f>"2227"</f>
        <v>2227</v>
      </c>
      <c r="B98" s="3" t="str">
        <f>"Обязательства по аренде"</f>
        <v>Обязательства по аренде</v>
      </c>
      <c r="C98" s="3" t="str">
        <f>"1"</f>
        <v>1</v>
      </c>
      <c r="D98" s="3" t="str">
        <f>"9"</f>
        <v>9</v>
      </c>
      <c r="E98" s="3" t="str">
        <f>"1"</f>
        <v>1</v>
      </c>
      <c r="F98" s="4">
        <v>11087544.82</v>
      </c>
    </row>
    <row r="99" spans="1:6">
      <c r="A99" s="3" t="str">
        <f>"2237"</f>
        <v>2237</v>
      </c>
      <c r="B99" s="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99" s="3" t="str">
        <f>"1"</f>
        <v>1</v>
      </c>
      <c r="D99" s="3" t="str">
        <f>"7"</f>
        <v>7</v>
      </c>
      <c r="E99" s="3" t="str">
        <f>"2"</f>
        <v>2</v>
      </c>
      <c r="F99" s="4">
        <v>60001468.469999999</v>
      </c>
    </row>
    <row r="100" spans="1:6">
      <c r="A100" s="3" t="str">
        <f>"2240"</f>
        <v>2240</v>
      </c>
      <c r="B100" s="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100" s="3" t="str">
        <f>"1"</f>
        <v>1</v>
      </c>
      <c r="D100" s="3" t="str">
        <f>"7"</f>
        <v>7</v>
      </c>
      <c r="E100" s="3" t="str">
        <f>"1"</f>
        <v>1</v>
      </c>
      <c r="F100" s="4">
        <v>374303092.83999997</v>
      </c>
    </row>
    <row r="101" spans="1:6">
      <c r="A101" s="3" t="str">
        <f>"2719"</f>
        <v>2719</v>
      </c>
      <c r="B101" s="3" t="str">
        <f>"Начисленные расходы по условным вкладам клиентов"</f>
        <v>Начисленные расходы по условным вкладам клиентов</v>
      </c>
      <c r="C101" s="3" t="str">
        <f>"1"</f>
        <v>1</v>
      </c>
      <c r="D101" s="3" t="str">
        <f>"7"</f>
        <v>7</v>
      </c>
      <c r="E101" s="3" t="str">
        <f>"1"</f>
        <v>1</v>
      </c>
      <c r="F101" s="4">
        <v>103447497.43000001</v>
      </c>
    </row>
    <row r="102" spans="1:6">
      <c r="A102" s="3" t="str">
        <f>"2719"</f>
        <v>2719</v>
      </c>
      <c r="B102" s="3" t="str">
        <f>"Начисленные расходы по условным вкладам клиентов"</f>
        <v>Начисленные расходы по условным вкладам клиентов</v>
      </c>
      <c r="C102" s="3" t="str">
        <f>"1"</f>
        <v>1</v>
      </c>
      <c r="D102" s="3" t="str">
        <f>"7"</f>
        <v>7</v>
      </c>
      <c r="E102" s="3" t="str">
        <f>"2"</f>
        <v>2</v>
      </c>
      <c r="F102" s="4">
        <v>131833571.06</v>
      </c>
    </row>
    <row r="103" spans="1:6">
      <c r="A103" s="3" t="str">
        <f>"2721"</f>
        <v>2721</v>
      </c>
      <c r="B103" s="3" t="str">
        <f>"Начисленные расходы по срочным вкладам клиентов"</f>
        <v>Начисленные расходы по срочным вкладам клиентов</v>
      </c>
      <c r="C103" s="3" t="str">
        <f>"1"</f>
        <v>1</v>
      </c>
      <c r="D103" s="3" t="str">
        <f>"6"</f>
        <v>6</v>
      </c>
      <c r="E103" s="3" t="str">
        <f>"2"</f>
        <v>2</v>
      </c>
      <c r="F103" s="4">
        <v>1359403.39</v>
      </c>
    </row>
    <row r="104" spans="1:6">
      <c r="A104" s="3" t="str">
        <f>"2721"</f>
        <v>2721</v>
      </c>
      <c r="B104" s="3" t="str">
        <f>"Начисленные расходы по срочным вкладам клиентов"</f>
        <v>Начисленные расходы по срочным вкладам клиентов</v>
      </c>
      <c r="C104" s="3" t="str">
        <f>"1"</f>
        <v>1</v>
      </c>
      <c r="D104" s="3" t="str">
        <f>"7"</f>
        <v>7</v>
      </c>
      <c r="E104" s="3" t="str">
        <f>"1"</f>
        <v>1</v>
      </c>
      <c r="F104" s="4">
        <v>6952704.1900000004</v>
      </c>
    </row>
    <row r="105" spans="1:6">
      <c r="A105" s="3" t="str">
        <f>"2721"</f>
        <v>2721</v>
      </c>
      <c r="B105" s="3" t="str">
        <f>"Начисленные расходы по срочным вкладам клиентов"</f>
        <v>Начисленные расходы по срочным вкладам клиентов</v>
      </c>
      <c r="C105" s="3" t="str">
        <f>"1"</f>
        <v>1</v>
      </c>
      <c r="D105" s="3" t="str">
        <f>"7"</f>
        <v>7</v>
      </c>
      <c r="E105" s="3" t="str">
        <f>"2"</f>
        <v>2</v>
      </c>
      <c r="F105" s="4">
        <v>103060903.70999999</v>
      </c>
    </row>
    <row r="106" spans="1:6">
      <c r="A106" s="3" t="str">
        <f>"2721"</f>
        <v>2721</v>
      </c>
      <c r="B106" s="3" t="str">
        <f>"Начисленные расходы по срочным вкладам клиентов"</f>
        <v>Начисленные расходы по срочным вкладам клиентов</v>
      </c>
      <c r="C106" s="3" t="str">
        <f>"1"</f>
        <v>1</v>
      </c>
      <c r="D106" s="3" t="str">
        <f>"9"</f>
        <v>9</v>
      </c>
      <c r="E106" s="3" t="str">
        <f>"1"</f>
        <v>1</v>
      </c>
      <c r="F106" s="4">
        <v>34570.53</v>
      </c>
    </row>
    <row r="107" spans="1:6">
      <c r="A107" s="3" t="str">
        <f>"2745"</f>
        <v>2745</v>
      </c>
      <c r="B107" s="3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107" s="3" t="str">
        <f>"1"</f>
        <v>1</v>
      </c>
      <c r="D107" s="3" t="str">
        <f>"9"</f>
        <v>9</v>
      </c>
      <c r="E107" s="3" t="str">
        <f>"1"</f>
        <v>1</v>
      </c>
      <c r="F107" s="4">
        <v>55185.85</v>
      </c>
    </row>
    <row r="108" spans="1:6">
      <c r="A108" s="3" t="str">
        <f>"2770"</f>
        <v>2770</v>
      </c>
      <c r="B108" s="3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108" s="3" t="str">
        <f>"2"</f>
        <v>2</v>
      </c>
      <c r="D108" s="3" t="str">
        <f>"4"</f>
        <v>4</v>
      </c>
      <c r="E108" s="3" t="str">
        <f>"1"</f>
        <v>1</v>
      </c>
      <c r="F108" s="4">
        <v>45733943.32</v>
      </c>
    </row>
    <row r="109" spans="1:6">
      <c r="A109" s="3" t="str">
        <f>"2794"</f>
        <v>2794</v>
      </c>
      <c r="B109" s="3" t="str">
        <f>"Доходы будущих периодов"</f>
        <v>Доходы будущих периодов</v>
      </c>
      <c r="C109" s="3" t="str">
        <f>"1"</f>
        <v>1</v>
      </c>
      <c r="D109" s="3" t="str">
        <f>"7"</f>
        <v>7</v>
      </c>
      <c r="E109" s="3" t="str">
        <f>"1"</f>
        <v>1</v>
      </c>
      <c r="F109" s="4">
        <v>65005076.700000003</v>
      </c>
    </row>
    <row r="110" spans="1:6">
      <c r="A110" s="3" t="str">
        <f>"2794"</f>
        <v>2794</v>
      </c>
      <c r="B110" s="3" t="str">
        <f>"Доходы будущих периодов"</f>
        <v>Доходы будущих периодов</v>
      </c>
      <c r="C110" s="3" t="str">
        <f>"2"</f>
        <v>2</v>
      </c>
      <c r="D110" s="3" t="str">
        <f>"4"</f>
        <v>4</v>
      </c>
      <c r="E110" s="3" t="str">
        <f>"1"</f>
        <v>1</v>
      </c>
      <c r="F110" s="4">
        <v>158724214.88999999</v>
      </c>
    </row>
    <row r="111" spans="1:6">
      <c r="A111" s="3" t="str">
        <f>"2799"</f>
        <v>2799</v>
      </c>
      <c r="B111" s="3" t="str">
        <f>"Прочие предоплаты"</f>
        <v>Прочие предоплаты</v>
      </c>
      <c r="C111" s="3" t="str">
        <f>"1"</f>
        <v>1</v>
      </c>
      <c r="D111" s="3" t="str">
        <f>"9"</f>
        <v>9</v>
      </c>
      <c r="E111" s="3" t="str">
        <f>"1"</f>
        <v>1</v>
      </c>
      <c r="F111" s="4">
        <v>576366.79</v>
      </c>
    </row>
    <row r="112" spans="1:6">
      <c r="A112" s="3" t="str">
        <f>"2799"</f>
        <v>2799</v>
      </c>
      <c r="B112" s="3" t="str">
        <f>"Прочие предоплаты"</f>
        <v>Прочие предоплаты</v>
      </c>
      <c r="C112" s="3" t="str">
        <f>"2"</f>
        <v>2</v>
      </c>
      <c r="D112" s="3" t="str">
        <f>"9"</f>
        <v>9</v>
      </c>
      <c r="E112" s="3" t="str">
        <f>"1"</f>
        <v>1</v>
      </c>
      <c r="F112" s="4">
        <v>299008.46999999997</v>
      </c>
    </row>
    <row r="113" spans="1:6">
      <c r="A113" s="3" t="str">
        <f>"2820"</f>
        <v>2820</v>
      </c>
      <c r="B113" s="3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113" s="3" t="str">
        <f>"1"</f>
        <v>1</v>
      </c>
      <c r="D113" s="3" t="str">
        <f>""</f>
        <v/>
      </c>
      <c r="E113" s="3" t="str">
        <f>"1"</f>
        <v>1</v>
      </c>
      <c r="F113" s="4">
        <v>16380000</v>
      </c>
    </row>
    <row r="114" spans="1:6">
      <c r="A114" s="3" t="str">
        <f>"2851"</f>
        <v>2851</v>
      </c>
      <c r="B114" s="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14" s="3" t="str">
        <f>"1"</f>
        <v>1</v>
      </c>
      <c r="D114" s="3" t="str">
        <f>"1"</f>
        <v>1</v>
      </c>
      <c r="E114" s="3" t="str">
        <f>"1"</f>
        <v>1</v>
      </c>
      <c r="F114" s="4">
        <v>33170605.66</v>
      </c>
    </row>
    <row r="115" spans="1:6">
      <c r="A115" s="3" t="str">
        <f>"2855"</f>
        <v>2855</v>
      </c>
      <c r="B115" s="3" t="str">
        <f>"Кредиторы по документарным расчетам"</f>
        <v>Кредиторы по документарным расчетам</v>
      </c>
      <c r="C115" s="3" t="str">
        <f>"2"</f>
        <v>2</v>
      </c>
      <c r="D115" s="3" t="str">
        <f>"7"</f>
        <v>7</v>
      </c>
      <c r="E115" s="3" t="str">
        <f>"2"</f>
        <v>2</v>
      </c>
      <c r="F115" s="4">
        <v>27842668.780000001</v>
      </c>
    </row>
    <row r="116" spans="1:6">
      <c r="A116" s="3" t="str">
        <f>"2861"</f>
        <v>2861</v>
      </c>
      <c r="B116" s="3" t="str">
        <f>"Резерв на отпускные выплаты"</f>
        <v>Резерв на отпускные выплаты</v>
      </c>
      <c r="C116" s="3" t="str">
        <f>""</f>
        <v/>
      </c>
      <c r="D116" s="3" t="str">
        <f>""</f>
        <v/>
      </c>
      <c r="E116" s="3" t="str">
        <f>""</f>
        <v/>
      </c>
      <c r="F116" s="4">
        <v>166774731</v>
      </c>
    </row>
    <row r="117" spans="1:6">
      <c r="A117" s="3" t="str">
        <f>"2867"</f>
        <v>2867</v>
      </c>
      <c r="B117" s="3" t="str">
        <f>"Прочие кредиторы по неосновной деятельности"</f>
        <v>Прочие кредиторы по неосновной деятельности</v>
      </c>
      <c r="C117" s="3" t="str">
        <f>"1"</f>
        <v>1</v>
      </c>
      <c r="D117" s="3" t="str">
        <f>"9"</f>
        <v>9</v>
      </c>
      <c r="E117" s="3" t="str">
        <f>"1"</f>
        <v>1</v>
      </c>
      <c r="F117" s="4">
        <v>6063874.1600000001</v>
      </c>
    </row>
    <row r="118" spans="1:6">
      <c r="A118" s="3" t="str">
        <f>"2869"</f>
        <v>2869</v>
      </c>
      <c r="B118" s="3" t="str">
        <f>"Выданные гарантии"</f>
        <v>Выданные гарантии</v>
      </c>
      <c r="C118" s="3" t="str">
        <f>"1"</f>
        <v>1</v>
      </c>
      <c r="D118" s="3" t="str">
        <f>"7"</f>
        <v>7</v>
      </c>
      <c r="E118" s="3" t="str">
        <f>"1"</f>
        <v>1</v>
      </c>
      <c r="F118" s="4">
        <v>534272.92000000004</v>
      </c>
    </row>
    <row r="119" spans="1:6">
      <c r="A119" s="3" t="str">
        <f>"2869"</f>
        <v>2869</v>
      </c>
      <c r="B119" s="3" t="str">
        <f>"Выданные гарантии"</f>
        <v>Выданные гарантии</v>
      </c>
      <c r="C119" s="3" t="str">
        <f>"2"</f>
        <v>2</v>
      </c>
      <c r="D119" s="3" t="str">
        <f>"4"</f>
        <v>4</v>
      </c>
      <c r="E119" s="3" t="str">
        <f>"2"</f>
        <v>2</v>
      </c>
      <c r="F119" s="4">
        <v>29795815.079999998</v>
      </c>
    </row>
    <row r="120" spans="1:6">
      <c r="A120" s="3" t="str">
        <f>"2870"</f>
        <v>2870</v>
      </c>
      <c r="B120" s="3" t="str">
        <f>"Прочие транзитные счета"</f>
        <v>Прочие транзитные счета</v>
      </c>
      <c r="C120" s="3" t="str">
        <f>"1"</f>
        <v>1</v>
      </c>
      <c r="D120" s="3" t="str">
        <f>"7"</f>
        <v>7</v>
      </c>
      <c r="E120" s="3" t="str">
        <f>"1"</f>
        <v>1</v>
      </c>
      <c r="F120" s="4">
        <v>33188.81</v>
      </c>
    </row>
    <row r="121" spans="1:6">
      <c r="A121" s="3" t="str">
        <f>"2870"</f>
        <v>2870</v>
      </c>
      <c r="B121" s="3" t="str">
        <f>"Прочие транзитные счета"</f>
        <v>Прочие транзитные счета</v>
      </c>
      <c r="C121" s="3" t="str">
        <f>"1"</f>
        <v>1</v>
      </c>
      <c r="D121" s="3" t="str">
        <f>"7"</f>
        <v>7</v>
      </c>
      <c r="E121" s="3" t="str">
        <f>"2"</f>
        <v>2</v>
      </c>
      <c r="F121" s="4">
        <v>2459013955.5100002</v>
      </c>
    </row>
    <row r="122" spans="1:6">
      <c r="A122" s="3" t="str">
        <f>"2870"</f>
        <v>2870</v>
      </c>
      <c r="B122" s="3" t="str">
        <f>"Прочие транзитные счета"</f>
        <v>Прочие транзитные счета</v>
      </c>
      <c r="C122" s="3" t="str">
        <f>"1"</f>
        <v>1</v>
      </c>
      <c r="D122" s="3" t="str">
        <f>"9"</f>
        <v>9</v>
      </c>
      <c r="E122" s="3" t="str">
        <f>"1"</f>
        <v>1</v>
      </c>
      <c r="F122" s="4">
        <v>7755889.9800000004</v>
      </c>
    </row>
    <row r="123" spans="1:6">
      <c r="A123" s="3" t="str">
        <f>"2875"</f>
        <v>2875</v>
      </c>
      <c r="B123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3" s="3" t="str">
        <f>"1"</f>
        <v>1</v>
      </c>
      <c r="D123" s="3" t="str">
        <f>"5"</f>
        <v>5</v>
      </c>
      <c r="E123" s="3" t="str">
        <f>"1"</f>
        <v>1</v>
      </c>
      <c r="F123" s="4">
        <v>182631.45</v>
      </c>
    </row>
    <row r="124" spans="1:6">
      <c r="A124" s="3" t="str">
        <f>"2875"</f>
        <v>2875</v>
      </c>
      <c r="B124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4" s="3" t="str">
        <f>"2"</f>
        <v>2</v>
      </c>
      <c r="D124" s="3" t="str">
        <f>"4"</f>
        <v>4</v>
      </c>
      <c r="E124" s="3" t="str">
        <f>"1"</f>
        <v>1</v>
      </c>
      <c r="F124" s="4">
        <v>315758.11</v>
      </c>
    </row>
    <row r="125" spans="1:6">
      <c r="A125" s="3" t="str">
        <f>"2875"</f>
        <v>2875</v>
      </c>
      <c r="B125" s="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125" s="3" t="str">
        <f>"2"</f>
        <v>2</v>
      </c>
      <c r="D125" s="3" t="str">
        <f>"4"</f>
        <v>4</v>
      </c>
      <c r="E125" s="3" t="str">
        <f>"2"</f>
        <v>2</v>
      </c>
      <c r="F125" s="4">
        <v>56830.73</v>
      </c>
    </row>
    <row r="126" spans="1:6">
      <c r="A126" s="3" t="str">
        <f>"2894"</f>
        <v>2894</v>
      </c>
      <c r="B126" s="3" t="str">
        <f>"Обязательства по операциям спот"</f>
        <v>Обязательства по операциям спот</v>
      </c>
      <c r="C126" s="3" t="str">
        <f>"1"</f>
        <v>1</v>
      </c>
      <c r="D126" s="3" t="str">
        <f>"5"</f>
        <v>5</v>
      </c>
      <c r="E126" s="3" t="str">
        <f>"1"</f>
        <v>1</v>
      </c>
      <c r="F126" s="4">
        <v>270715.90999999997</v>
      </c>
    </row>
    <row r="127" spans="1:6">
      <c r="A127" s="3" t="str">
        <f>"2894"</f>
        <v>2894</v>
      </c>
      <c r="B127" s="3" t="str">
        <f>"Обязательства по операциям спот"</f>
        <v>Обязательства по операциям спот</v>
      </c>
      <c r="C127" s="3" t="str">
        <f>"2"</f>
        <v>2</v>
      </c>
      <c r="D127" s="3" t="str">
        <f>"4"</f>
        <v>4</v>
      </c>
      <c r="E127" s="3" t="str">
        <f>"1"</f>
        <v>1</v>
      </c>
      <c r="F127" s="4">
        <v>148807</v>
      </c>
    </row>
    <row r="128" spans="1:6">
      <c r="A128" s="3" t="str">
        <f>"3001"</f>
        <v>3001</v>
      </c>
      <c r="B128" s="3" t="str">
        <f>"Уставный капитал – простые акции"</f>
        <v>Уставный капитал – простые акции</v>
      </c>
      <c r="C128" s="3" t="str">
        <f>""</f>
        <v/>
      </c>
      <c r="D128" s="3" t="str">
        <f>""</f>
        <v/>
      </c>
      <c r="E128" s="3" t="str">
        <f>""</f>
        <v/>
      </c>
      <c r="F128" s="4">
        <v>5485007500</v>
      </c>
    </row>
    <row r="129" spans="1:6">
      <c r="A129" s="3" t="str">
        <f>"3510"</f>
        <v>3510</v>
      </c>
      <c r="B129" s="3" t="str">
        <f>"Резервный капитал"</f>
        <v>Резервный капитал</v>
      </c>
      <c r="C129" s="3" t="str">
        <f>""</f>
        <v/>
      </c>
      <c r="D129" s="3" t="str">
        <f>""</f>
        <v/>
      </c>
      <c r="E129" s="3" t="str">
        <f>""</f>
        <v/>
      </c>
      <c r="F129" s="4">
        <v>3922493896.9099998</v>
      </c>
    </row>
    <row r="130" spans="1:6">
      <c r="A130" s="3" t="str">
        <f>"3580"</f>
        <v>3580</v>
      </c>
      <c r="B130" s="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130" s="3" t="str">
        <f>""</f>
        <v/>
      </c>
      <c r="D130" s="3" t="str">
        <f>""</f>
        <v/>
      </c>
      <c r="E130" s="3" t="str">
        <f>""</f>
        <v/>
      </c>
      <c r="F130" s="4">
        <v>70165743385.949997</v>
      </c>
    </row>
    <row r="131" spans="1:6">
      <c r="A131" s="3" t="str">
        <f>"3599"</f>
        <v>3599</v>
      </c>
      <c r="B131" s="3" t="str">
        <f>"Нераспределенная чистая прибыль (непокрытый убыток)"</f>
        <v>Нераспределенная чистая прибыль (непокрытый убыток)</v>
      </c>
      <c r="C131" s="3" t="str">
        <f>""</f>
        <v/>
      </c>
      <c r="D131" s="3" t="str">
        <f>""</f>
        <v/>
      </c>
      <c r="E131" s="3" t="str">
        <f>""</f>
        <v/>
      </c>
      <c r="F131" s="4">
        <v>11497499470.1</v>
      </c>
    </row>
    <row r="132" spans="1:6">
      <c r="A132" s="3" t="str">
        <f>"4052"</f>
        <v>4052</v>
      </c>
      <c r="B132" s="3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132" s="3" t="str">
        <f>""</f>
        <v/>
      </c>
      <c r="D132" s="3" t="str">
        <f>""</f>
        <v/>
      </c>
      <c r="E132" s="3" t="str">
        <f>""</f>
        <v/>
      </c>
      <c r="F132" s="4">
        <v>79731350.019999996</v>
      </c>
    </row>
    <row r="133" spans="1:6">
      <c r="A133" s="3" t="str">
        <f>"4103"</f>
        <v>4103</v>
      </c>
      <c r="B133" s="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133" s="3" t="str">
        <f>""</f>
        <v/>
      </c>
      <c r="D133" s="3" t="str">
        <f>""</f>
        <v/>
      </c>
      <c r="E133" s="3" t="str">
        <f>""</f>
        <v/>
      </c>
      <c r="F133" s="4">
        <v>10203734599.18</v>
      </c>
    </row>
    <row r="134" spans="1:6">
      <c r="A134" s="3" t="str">
        <f>"4417"</f>
        <v>4417</v>
      </c>
      <c r="B134" s="3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134" s="3" t="str">
        <f>""</f>
        <v/>
      </c>
      <c r="D134" s="3" t="str">
        <f>""</f>
        <v/>
      </c>
      <c r="E134" s="3" t="str">
        <f>""</f>
        <v/>
      </c>
      <c r="F134" s="4">
        <v>1881143165.05</v>
      </c>
    </row>
    <row r="135" spans="1:6">
      <c r="A135" s="3" t="str">
        <f>"4424"</f>
        <v>4424</v>
      </c>
      <c r="B135" s="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135" s="3" t="str">
        <f>""</f>
        <v/>
      </c>
      <c r="D135" s="3" t="str">
        <f>""</f>
        <v/>
      </c>
      <c r="E135" s="3" t="str">
        <f>""</f>
        <v/>
      </c>
      <c r="F135" s="4">
        <v>1612.65</v>
      </c>
    </row>
    <row r="136" spans="1:6">
      <c r="A136" s="3" t="str">
        <f>"4481"</f>
        <v>4481</v>
      </c>
      <c r="B136" s="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136" s="3" t="str">
        <f>""</f>
        <v/>
      </c>
      <c r="D136" s="3" t="str">
        <f>""</f>
        <v/>
      </c>
      <c r="E136" s="3" t="str">
        <f>""</f>
        <v/>
      </c>
      <c r="F136" s="4">
        <v>1437720992.49</v>
      </c>
    </row>
    <row r="137" spans="1:6">
      <c r="A137" s="3" t="str">
        <f>"4530"</f>
        <v>4530</v>
      </c>
      <c r="B137" s="3" t="str">
        <f>"Доходы по купле-продаже иностранной валюты"</f>
        <v>Доходы по купле-продаже иностранной валюты</v>
      </c>
      <c r="C137" s="3" t="str">
        <f>""</f>
        <v/>
      </c>
      <c r="D137" s="3" t="str">
        <f>""</f>
        <v/>
      </c>
      <c r="E137" s="3" t="str">
        <f>""</f>
        <v/>
      </c>
      <c r="F137" s="4">
        <v>1845261452.95</v>
      </c>
    </row>
    <row r="138" spans="1:6">
      <c r="A138" s="3" t="str">
        <f>"4601"</f>
        <v>4601</v>
      </c>
      <c r="B138" s="3" t="str">
        <f>"Комиссионные доходы за услуги по переводным операциям"</f>
        <v>Комиссионные доходы за услуги по переводным операциям</v>
      </c>
      <c r="C138" s="3" t="str">
        <f>""</f>
        <v/>
      </c>
      <c r="D138" s="3" t="str">
        <f>""</f>
        <v/>
      </c>
      <c r="E138" s="3" t="str">
        <f>""</f>
        <v/>
      </c>
      <c r="F138" s="4">
        <v>150431390.77000001</v>
      </c>
    </row>
    <row r="139" spans="1:6">
      <c r="A139" s="3" t="str">
        <f>"4602"</f>
        <v>4602</v>
      </c>
      <c r="B139" s="3" t="str">
        <f>"Комиссионные доходы за агентские услуги"</f>
        <v>Комиссионные доходы за агентские услуги</v>
      </c>
      <c r="C139" s="3" t="str">
        <f>""</f>
        <v/>
      </c>
      <c r="D139" s="3" t="str">
        <f>""</f>
        <v/>
      </c>
      <c r="E139" s="3" t="str">
        <f>""</f>
        <v/>
      </c>
      <c r="F139" s="4">
        <v>528817457.18000001</v>
      </c>
    </row>
    <row r="140" spans="1:6">
      <c r="A140" s="3" t="str">
        <f>"4606"</f>
        <v>4606</v>
      </c>
      <c r="B140" s="3" t="str">
        <f>"Комиссионные доходы за услуги по операциям с гарантиями"</f>
        <v>Комиссионные доходы за услуги по операциям с гарантиями</v>
      </c>
      <c r="C140" s="3" t="str">
        <f>""</f>
        <v/>
      </c>
      <c r="D140" s="3" t="str">
        <f>""</f>
        <v/>
      </c>
      <c r="E140" s="3" t="str">
        <f>""</f>
        <v/>
      </c>
      <c r="F140" s="4">
        <v>166207430.94</v>
      </c>
    </row>
    <row r="141" spans="1:6">
      <c r="A141" s="3" t="str">
        <f>"4607"</f>
        <v>4607</v>
      </c>
      <c r="B141" s="3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141" s="3" t="str">
        <f>""</f>
        <v/>
      </c>
      <c r="D141" s="3" t="str">
        <f>""</f>
        <v/>
      </c>
      <c r="E141" s="3" t="str">
        <f>""</f>
        <v/>
      </c>
      <c r="F141" s="4">
        <v>15087790.390000001</v>
      </c>
    </row>
    <row r="142" spans="1:6">
      <c r="A142" s="3" t="str">
        <f>"4608"</f>
        <v>4608</v>
      </c>
      <c r="B142" s="3" t="str">
        <f>"Прочие комиссионные доходы"</f>
        <v>Прочие комиссионные доходы</v>
      </c>
      <c r="C142" s="3" t="str">
        <f>""</f>
        <v/>
      </c>
      <c r="D142" s="3" t="str">
        <f>""</f>
        <v/>
      </c>
      <c r="E142" s="3" t="str">
        <f>""</f>
        <v/>
      </c>
      <c r="F142" s="4">
        <v>16038419.57</v>
      </c>
    </row>
    <row r="143" spans="1:6">
      <c r="A143" s="3" t="str">
        <f>"4611"</f>
        <v>4611</v>
      </c>
      <c r="B143" s="3" t="str">
        <f>"Комиссионные доходы за услуги по кассовым операциям"</f>
        <v>Комиссионные доходы за услуги по кассовым операциям</v>
      </c>
      <c r="C143" s="3" t="str">
        <f>""</f>
        <v/>
      </c>
      <c r="D143" s="3" t="str">
        <f>""</f>
        <v/>
      </c>
      <c r="E143" s="3" t="str">
        <f>""</f>
        <v/>
      </c>
      <c r="F143" s="4">
        <v>6758998.4699999997</v>
      </c>
    </row>
    <row r="144" spans="1:6">
      <c r="A144" s="3" t="str">
        <f>"4612"</f>
        <v>4612</v>
      </c>
      <c r="B144" s="3" t="str">
        <f>"Комиссионные доходы по документарным расчетам"</f>
        <v>Комиссионные доходы по документарным расчетам</v>
      </c>
      <c r="C144" s="3" t="str">
        <f>""</f>
        <v/>
      </c>
      <c r="D144" s="3" t="str">
        <f>""</f>
        <v/>
      </c>
      <c r="E144" s="3" t="str">
        <f>""</f>
        <v/>
      </c>
      <c r="F144" s="4">
        <v>1736522.5</v>
      </c>
    </row>
    <row r="145" spans="1:6">
      <c r="A145" s="3" t="str">
        <f>"4617"</f>
        <v>4617</v>
      </c>
      <c r="B145" s="3" t="str">
        <f>"Комиссионные доходы за услуги по сейфовым операциям"</f>
        <v>Комиссионные доходы за услуги по сейфовым операциям</v>
      </c>
      <c r="C145" s="3" t="str">
        <f>""</f>
        <v/>
      </c>
      <c r="D145" s="3" t="str">
        <f>""</f>
        <v/>
      </c>
      <c r="E145" s="3" t="str">
        <f>""</f>
        <v/>
      </c>
      <c r="F145" s="4">
        <v>870034.94</v>
      </c>
    </row>
    <row r="146" spans="1:6">
      <c r="A146" s="3" t="str">
        <f>"4703"</f>
        <v>4703</v>
      </c>
      <c r="B146" s="3" t="str">
        <f>"Доход от переоценки иностранной валюты"</f>
        <v>Доход от переоценки иностранной валюты</v>
      </c>
      <c r="C146" s="3" t="str">
        <f>""</f>
        <v/>
      </c>
      <c r="D146" s="3" t="str">
        <f>""</f>
        <v/>
      </c>
      <c r="E146" s="3" t="str">
        <f>""</f>
        <v/>
      </c>
      <c r="F146" s="4">
        <v>4188036557.98</v>
      </c>
    </row>
    <row r="147" spans="1:6">
      <c r="A147" s="3" t="str">
        <f>"4900"</f>
        <v>4900</v>
      </c>
      <c r="B147" s="3" t="str">
        <f>"Неустойка (штраф, пеня)"</f>
        <v>Неустойка (штраф, пеня)</v>
      </c>
      <c r="C147" s="3" t="str">
        <f>""</f>
        <v/>
      </c>
      <c r="D147" s="3" t="str">
        <f>""</f>
        <v/>
      </c>
      <c r="E147" s="3" t="str">
        <f>""</f>
        <v/>
      </c>
      <c r="F147" s="4">
        <v>29767.759999999998</v>
      </c>
    </row>
    <row r="148" spans="1:6">
      <c r="A148" s="3" t="str">
        <f>"4921"</f>
        <v>4921</v>
      </c>
      <c r="B148" s="3" t="str">
        <f>"Прочие доходы от банковской деятельности"</f>
        <v>Прочие доходы от банковской деятельности</v>
      </c>
      <c r="C148" s="3" t="str">
        <f>""</f>
        <v/>
      </c>
      <c r="D148" s="3" t="str">
        <f>""</f>
        <v/>
      </c>
      <c r="E148" s="3" t="str">
        <f>""</f>
        <v/>
      </c>
      <c r="F148" s="4">
        <v>103623915.45</v>
      </c>
    </row>
    <row r="149" spans="1:6">
      <c r="A149" s="3" t="str">
        <f>"4922"</f>
        <v>4922</v>
      </c>
      <c r="B149" s="3" t="str">
        <f>"Прочие доходы от неосновной деятельности"</f>
        <v>Прочие доходы от неосновной деятельности</v>
      </c>
      <c r="C149" s="3" t="str">
        <f>""</f>
        <v/>
      </c>
      <c r="D149" s="3" t="str">
        <f>""</f>
        <v/>
      </c>
      <c r="E149" s="3" t="str">
        <f>""</f>
        <v/>
      </c>
      <c r="F149" s="4">
        <v>106771</v>
      </c>
    </row>
    <row r="150" spans="1:6">
      <c r="A150" s="3" t="str">
        <f>"4954"</f>
        <v>4954</v>
      </c>
      <c r="B150" s="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150" s="3" t="str">
        <f>""</f>
        <v/>
      </c>
      <c r="D150" s="3" t="str">
        <f>""</f>
        <v/>
      </c>
      <c r="E150" s="3" t="str">
        <f>""</f>
        <v/>
      </c>
      <c r="F150" s="4">
        <v>1441820.02</v>
      </c>
    </row>
    <row r="151" spans="1:6">
      <c r="A151" s="3" t="str">
        <f>"4955"</f>
        <v>4955</v>
      </c>
      <c r="B151" s="3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151" s="3" t="str">
        <f>""</f>
        <v/>
      </c>
      <c r="D151" s="3" t="str">
        <f>""</f>
        <v/>
      </c>
      <c r="E151" s="3" t="str">
        <f>""</f>
        <v/>
      </c>
      <c r="F151" s="4">
        <v>2726214.43</v>
      </c>
    </row>
    <row r="152" spans="1:6">
      <c r="A152" s="3" t="str">
        <f>"4956"</f>
        <v>4956</v>
      </c>
      <c r="B152" s="3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152" s="3" t="str">
        <f>""</f>
        <v/>
      </c>
      <c r="D152" s="3" t="str">
        <f>""</f>
        <v/>
      </c>
      <c r="E152" s="3" t="str">
        <f>""</f>
        <v/>
      </c>
      <c r="F152" s="4">
        <v>10471676.789999999</v>
      </c>
    </row>
    <row r="153" spans="1:6">
      <c r="A153" s="3" t="str">
        <f>"4958"</f>
        <v>4958</v>
      </c>
      <c r="B153" s="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153" s="3" t="str">
        <f>""</f>
        <v/>
      </c>
      <c r="D153" s="3" t="str">
        <f>""</f>
        <v/>
      </c>
      <c r="E153" s="3" t="str">
        <f>""</f>
        <v/>
      </c>
      <c r="F153" s="4">
        <v>3116351.97</v>
      </c>
    </row>
    <row r="154" spans="1:6">
      <c r="A154" s="3" t="str">
        <f>"5054"</f>
        <v>5054</v>
      </c>
      <c r="B154" s="3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154" s="3" t="str">
        <f>""</f>
        <v/>
      </c>
      <c r="D154" s="3" t="str">
        <f>""</f>
        <v/>
      </c>
      <c r="E154" s="3" t="str">
        <f>""</f>
        <v/>
      </c>
      <c r="F154" s="4">
        <v>21513225</v>
      </c>
    </row>
    <row r="155" spans="1:6">
      <c r="A155" s="3" t="str">
        <f>"5215"</f>
        <v>5215</v>
      </c>
      <c r="B155" s="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155" s="3" t="str">
        <f>""</f>
        <v/>
      </c>
      <c r="D155" s="3" t="str">
        <f>""</f>
        <v/>
      </c>
      <c r="E155" s="3" t="str">
        <f>""</f>
        <v/>
      </c>
      <c r="F155" s="4">
        <v>929542986.25</v>
      </c>
    </row>
    <row r="156" spans="1:6">
      <c r="A156" s="3" t="str">
        <f>"5219"</f>
        <v>5219</v>
      </c>
      <c r="B156" s="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156" s="3" t="str">
        <f>""</f>
        <v/>
      </c>
      <c r="D156" s="3" t="str">
        <f>""</f>
        <v/>
      </c>
      <c r="E156" s="3" t="str">
        <f>""</f>
        <v/>
      </c>
      <c r="F156" s="4">
        <v>211561617.13</v>
      </c>
    </row>
    <row r="157" spans="1:6">
      <c r="A157" s="3" t="str">
        <f>"5227"</f>
        <v>5227</v>
      </c>
      <c r="B157" s="3" t="str">
        <f>"Процентные расходы по обязательствам по аренде"</f>
        <v>Процентные расходы по обязательствам по аренде</v>
      </c>
      <c r="C157" s="3" t="str">
        <f>""</f>
        <v/>
      </c>
      <c r="D157" s="3" t="str">
        <f>""</f>
        <v/>
      </c>
      <c r="E157" s="3" t="str">
        <f>""</f>
        <v/>
      </c>
      <c r="F157" s="4">
        <v>137764.16</v>
      </c>
    </row>
    <row r="158" spans="1:6">
      <c r="A158" s="3" t="str">
        <f>"5308"</f>
        <v>5308</v>
      </c>
      <c r="B158" s="3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158" s="3" t="str">
        <f>""</f>
        <v/>
      </c>
      <c r="D158" s="3" t="str">
        <f>""</f>
        <v/>
      </c>
      <c r="E158" s="3" t="str">
        <f>""</f>
        <v/>
      </c>
      <c r="F158" s="4">
        <v>522146424.33999997</v>
      </c>
    </row>
    <row r="159" spans="1:6">
      <c r="A159" s="3" t="str">
        <f>"5455"</f>
        <v>5455</v>
      </c>
      <c r="B159" s="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159" s="3" t="str">
        <f>""</f>
        <v/>
      </c>
      <c r="D159" s="3" t="str">
        <f>""</f>
        <v/>
      </c>
      <c r="E159" s="3" t="str">
        <f>""</f>
        <v/>
      </c>
      <c r="F159" s="4">
        <v>13208165.470000001</v>
      </c>
    </row>
    <row r="160" spans="1:6">
      <c r="A160" s="3" t="str">
        <f>"5456"</f>
        <v>5456</v>
      </c>
      <c r="B160" s="3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160" s="3" t="str">
        <f>""</f>
        <v/>
      </c>
      <c r="D160" s="3" t="str">
        <f>""</f>
        <v/>
      </c>
      <c r="E160" s="3" t="str">
        <f>""</f>
        <v/>
      </c>
      <c r="F160" s="4">
        <v>9414385.3300000001</v>
      </c>
    </row>
    <row r="161" spans="1:6">
      <c r="A161" s="3" t="str">
        <f>"5464"</f>
        <v>5464</v>
      </c>
      <c r="B161" s="3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161" s="3" t="str">
        <f>""</f>
        <v/>
      </c>
      <c r="D161" s="3" t="str">
        <f>""</f>
        <v/>
      </c>
      <c r="E161" s="3" t="str">
        <f>""</f>
        <v/>
      </c>
      <c r="F161" s="4">
        <v>576539.56999999995</v>
      </c>
    </row>
    <row r="162" spans="1:6">
      <c r="A162" s="3" t="str">
        <f>"5465"</f>
        <v>5465</v>
      </c>
      <c r="B162" s="3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162" s="3" t="str">
        <f>""</f>
        <v/>
      </c>
      <c r="D162" s="3" t="str">
        <f>""</f>
        <v/>
      </c>
      <c r="E162" s="3" t="str">
        <f>""</f>
        <v/>
      </c>
      <c r="F162" s="4">
        <v>780523.42</v>
      </c>
    </row>
    <row r="163" spans="1:6">
      <c r="A163" s="3" t="str">
        <f>"5530"</f>
        <v>5530</v>
      </c>
      <c r="B163" s="3" t="str">
        <f>"Расходы по купле-продаже иностранной валюты"</f>
        <v>Расходы по купле-продаже иностранной валюты</v>
      </c>
      <c r="C163" s="3" t="str">
        <f>""</f>
        <v/>
      </c>
      <c r="D163" s="3" t="str">
        <f>""</f>
        <v/>
      </c>
      <c r="E163" s="3" t="str">
        <f>""</f>
        <v/>
      </c>
      <c r="F163" s="4">
        <v>898068518.66999996</v>
      </c>
    </row>
    <row r="164" spans="1:6">
      <c r="A164" s="3" t="str">
        <f>"5601"</f>
        <v>5601</v>
      </c>
      <c r="B164" s="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164" s="3" t="str">
        <f>""</f>
        <v/>
      </c>
      <c r="D164" s="3" t="str">
        <f>""</f>
        <v/>
      </c>
      <c r="E164" s="3" t="str">
        <f>""</f>
        <v/>
      </c>
      <c r="F164" s="4">
        <v>4635984.7300000004</v>
      </c>
    </row>
    <row r="165" spans="1:6">
      <c r="A165" s="3" t="str">
        <f>"5608"</f>
        <v>5608</v>
      </c>
      <c r="B165" s="3" t="str">
        <f>"Прочие комиссионные расходы"</f>
        <v>Прочие комиссионные расходы</v>
      </c>
      <c r="C165" s="3" t="str">
        <f>""</f>
        <v/>
      </c>
      <c r="D165" s="3" t="str">
        <f>""</f>
        <v/>
      </c>
      <c r="E165" s="3" t="str">
        <f>""</f>
        <v/>
      </c>
      <c r="F165" s="4">
        <v>20366365.699999999</v>
      </c>
    </row>
    <row r="166" spans="1:6">
      <c r="A166" s="3" t="str">
        <f>"5703"</f>
        <v>5703</v>
      </c>
      <c r="B166" s="3" t="str">
        <f>"Расходы от переоценки иностранной валюты"</f>
        <v>Расходы от переоценки иностранной валюты</v>
      </c>
      <c r="C166" s="3" t="str">
        <f>""</f>
        <v/>
      </c>
      <c r="D166" s="3" t="str">
        <f>""</f>
        <v/>
      </c>
      <c r="E166" s="3" t="str">
        <f>""</f>
        <v/>
      </c>
      <c r="F166" s="4">
        <v>3689921589.9099998</v>
      </c>
    </row>
    <row r="167" spans="1:6">
      <c r="A167" s="3" t="str">
        <f>"5721"</f>
        <v>5721</v>
      </c>
      <c r="B167" s="3" t="str">
        <f>"Расходы по оплате труда"</f>
        <v>Расходы по оплате труда</v>
      </c>
      <c r="C167" s="3" t="str">
        <f>""</f>
        <v/>
      </c>
      <c r="D167" s="3" t="str">
        <f>""</f>
        <v/>
      </c>
      <c r="E167" s="3" t="str">
        <f>""</f>
        <v/>
      </c>
      <c r="F167" s="4">
        <v>574716360.49000001</v>
      </c>
    </row>
    <row r="168" spans="1:6">
      <c r="A168" s="3" t="str">
        <f>"5722"</f>
        <v>5722</v>
      </c>
      <c r="B168" s="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C168" s="3" t="str">
        <f>""</f>
        <v/>
      </c>
      <c r="D168" s="3" t="str">
        <f>""</f>
        <v/>
      </c>
      <c r="E168" s="3" t="str">
        <f>""</f>
        <v/>
      </c>
      <c r="F168" s="4">
        <v>23155965</v>
      </c>
    </row>
    <row r="169" spans="1:6">
      <c r="A169" s="3" t="str">
        <f>"5729"</f>
        <v>5729</v>
      </c>
      <c r="B169" s="3" t="str">
        <f>"Прочие выплаты"</f>
        <v>Прочие выплаты</v>
      </c>
      <c r="C169" s="3" t="str">
        <f>""</f>
        <v/>
      </c>
      <c r="D169" s="3" t="str">
        <f>""</f>
        <v/>
      </c>
      <c r="E169" s="3" t="str">
        <f>""</f>
        <v/>
      </c>
      <c r="F169" s="4">
        <v>4043835</v>
      </c>
    </row>
    <row r="170" spans="1:6">
      <c r="A170" s="3" t="str">
        <f>"5741"</f>
        <v>5741</v>
      </c>
      <c r="B170" s="3" t="str">
        <f>"Транспортные расходы"</f>
        <v>Транспортные расходы</v>
      </c>
      <c r="C170" s="3" t="str">
        <f>""</f>
        <v/>
      </c>
      <c r="D170" s="3" t="str">
        <f>""</f>
        <v/>
      </c>
      <c r="E170" s="3" t="str">
        <f>""</f>
        <v/>
      </c>
      <c r="F170" s="4">
        <v>3867324.65</v>
      </c>
    </row>
    <row r="171" spans="1:6">
      <c r="A171" s="3" t="str">
        <f>"5742"</f>
        <v>5742</v>
      </c>
      <c r="B171" s="3" t="str">
        <f>"Административные расходы"</f>
        <v>Административные расходы</v>
      </c>
      <c r="C171" s="3" t="str">
        <f>""</f>
        <v/>
      </c>
      <c r="D171" s="3" t="str">
        <f>""</f>
        <v/>
      </c>
      <c r="E171" s="3" t="str">
        <f>""</f>
        <v/>
      </c>
      <c r="F171" s="4">
        <v>132099498.16</v>
      </c>
    </row>
    <row r="172" spans="1:6">
      <c r="A172" s="3" t="str">
        <f>"5743"</f>
        <v>5743</v>
      </c>
      <c r="B172" s="3" t="str">
        <f>"Расходы на инкассацию"</f>
        <v>Расходы на инкассацию</v>
      </c>
      <c r="C172" s="3" t="str">
        <f>""</f>
        <v/>
      </c>
      <c r="D172" s="3" t="str">
        <f>""</f>
        <v/>
      </c>
      <c r="E172" s="3" t="str">
        <f>""</f>
        <v/>
      </c>
      <c r="F172" s="4">
        <v>635607.15</v>
      </c>
    </row>
    <row r="173" spans="1:6">
      <c r="A173" s="3" t="str">
        <f>"5744"</f>
        <v>5744</v>
      </c>
      <c r="B173" s="3" t="str">
        <f>"Расходы на ремонт"</f>
        <v>Расходы на ремонт</v>
      </c>
      <c r="C173" s="3" t="str">
        <f>""</f>
        <v/>
      </c>
      <c r="D173" s="3" t="str">
        <f>""</f>
        <v/>
      </c>
      <c r="E173" s="3" t="str">
        <f>""</f>
        <v/>
      </c>
      <c r="F173" s="4">
        <v>61000</v>
      </c>
    </row>
    <row r="174" spans="1:6">
      <c r="A174" s="3" t="str">
        <f>"5746"</f>
        <v>5746</v>
      </c>
      <c r="B174" s="3" t="str">
        <f>"Расходы на охрану и сигнализацию"</f>
        <v>Расходы на охрану и сигнализацию</v>
      </c>
      <c r="C174" s="3" t="str">
        <f>""</f>
        <v/>
      </c>
      <c r="D174" s="3" t="str">
        <f>""</f>
        <v/>
      </c>
      <c r="E174" s="3" t="str">
        <f>""</f>
        <v/>
      </c>
      <c r="F174" s="4">
        <v>25851102.649999999</v>
      </c>
    </row>
    <row r="175" spans="1:6">
      <c r="A175" s="3" t="str">
        <f>"5747"</f>
        <v>5747</v>
      </c>
      <c r="B175" s="3" t="str">
        <f>"Представительские расходы"</f>
        <v>Представительские расходы</v>
      </c>
      <c r="C175" s="3" t="str">
        <f>""</f>
        <v/>
      </c>
      <c r="D175" s="3" t="str">
        <f>""</f>
        <v/>
      </c>
      <c r="E175" s="3" t="str">
        <f>""</f>
        <v/>
      </c>
      <c r="F175" s="4">
        <v>31489731.579999998</v>
      </c>
    </row>
    <row r="176" spans="1:6">
      <c r="A176" s="3" t="str">
        <f>"5749"</f>
        <v>5749</v>
      </c>
      <c r="B176" s="3" t="str">
        <f>"Расходы на служебные командировки"</f>
        <v>Расходы на служебные командировки</v>
      </c>
      <c r="C176" s="3" t="str">
        <f>""</f>
        <v/>
      </c>
      <c r="D176" s="3" t="str">
        <f>""</f>
        <v/>
      </c>
      <c r="E176" s="3" t="str">
        <f>""</f>
        <v/>
      </c>
      <c r="F176" s="4">
        <v>10857571.130000001</v>
      </c>
    </row>
    <row r="177" spans="1:6">
      <c r="A177" s="3" t="str">
        <f>"5750"</f>
        <v>5750</v>
      </c>
      <c r="B177" s="3" t="str">
        <f>"Расходы по аудиту и консультационным услугам"</f>
        <v>Расходы по аудиту и консультационным услугам</v>
      </c>
      <c r="C177" s="3" t="str">
        <f>""</f>
        <v/>
      </c>
      <c r="D177" s="3" t="str">
        <f>""</f>
        <v/>
      </c>
      <c r="E177" s="3" t="str">
        <f>""</f>
        <v/>
      </c>
      <c r="F177" s="4">
        <v>4187343.75</v>
      </c>
    </row>
    <row r="178" spans="1:6">
      <c r="A178" s="3" t="str">
        <f>"5752"</f>
        <v>5752</v>
      </c>
      <c r="B178" s="3" t="str">
        <f>"Расходы по страхованию"</f>
        <v>Расходы по страхованию</v>
      </c>
      <c r="C178" s="3" t="str">
        <f>""</f>
        <v/>
      </c>
      <c r="D178" s="3" t="str">
        <f>""</f>
        <v/>
      </c>
      <c r="E178" s="3" t="str">
        <f>""</f>
        <v/>
      </c>
      <c r="F178" s="4">
        <v>3957982</v>
      </c>
    </row>
    <row r="179" spans="1:6">
      <c r="A179" s="3" t="str">
        <f>"5753"</f>
        <v>5753</v>
      </c>
      <c r="B179" s="3" t="str">
        <f>"Расходы по услугам связи"</f>
        <v>Расходы по услугам связи</v>
      </c>
      <c r="C179" s="3" t="str">
        <f>""</f>
        <v/>
      </c>
      <c r="D179" s="3" t="str">
        <f>""</f>
        <v/>
      </c>
      <c r="E179" s="3" t="str">
        <f>""</f>
        <v/>
      </c>
      <c r="F179" s="4">
        <v>27612974.010000002</v>
      </c>
    </row>
    <row r="180" spans="1:6">
      <c r="A180" s="3" t="str">
        <f>"5754"</f>
        <v>5754</v>
      </c>
      <c r="B180" s="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180" s="3" t="str">
        <f>""</f>
        <v/>
      </c>
      <c r="D180" s="3" t="str">
        <f>""</f>
        <v/>
      </c>
      <c r="E180" s="3" t="str">
        <f>""</f>
        <v/>
      </c>
      <c r="F180" s="4">
        <v>1976244</v>
      </c>
    </row>
    <row r="181" spans="1:6">
      <c r="A181" s="3" t="str">
        <f>"5761"</f>
        <v>5761</v>
      </c>
      <c r="B181" s="3" t="str">
        <f>"Налог на добавленную стоимость"</f>
        <v>Налог на добавленную стоимость</v>
      </c>
      <c r="C181" s="3" t="str">
        <f>""</f>
        <v/>
      </c>
      <c r="D181" s="3" t="str">
        <f>""</f>
        <v/>
      </c>
      <c r="E181" s="3" t="str">
        <f>""</f>
        <v/>
      </c>
      <c r="F181" s="4">
        <v>22373744.489999998</v>
      </c>
    </row>
    <row r="182" spans="1:6">
      <c r="A182" s="3" t="str">
        <f>"5763"</f>
        <v>5763</v>
      </c>
      <c r="B182" s="3" t="str">
        <f>"Социальный налог"</f>
        <v>Социальный налог</v>
      </c>
      <c r="C182" s="3" t="str">
        <f>""</f>
        <v/>
      </c>
      <c r="D182" s="3" t="str">
        <f>""</f>
        <v/>
      </c>
      <c r="E182" s="3" t="str">
        <f>""</f>
        <v/>
      </c>
      <c r="F182" s="4">
        <v>37743994</v>
      </c>
    </row>
    <row r="183" spans="1:6">
      <c r="A183" s="3" t="str">
        <f>"5764"</f>
        <v>5764</v>
      </c>
      <c r="B183" s="3" t="str">
        <f>"Земельный налог"</f>
        <v>Земельный налог</v>
      </c>
      <c r="C183" s="3" t="str">
        <f>""</f>
        <v/>
      </c>
      <c r="D183" s="3" t="str">
        <f>""</f>
        <v/>
      </c>
      <c r="E183" s="3" t="str">
        <f>""</f>
        <v/>
      </c>
      <c r="F183" s="4">
        <v>276238.53999999998</v>
      </c>
    </row>
    <row r="184" spans="1:6">
      <c r="A184" s="3" t="str">
        <f>"5765"</f>
        <v>5765</v>
      </c>
      <c r="B184" s="3" t="str">
        <f>"Налог на имущество юридических лиц"</f>
        <v>Налог на имущество юридических лиц</v>
      </c>
      <c r="C184" s="3" t="str">
        <f>""</f>
        <v/>
      </c>
      <c r="D184" s="3" t="str">
        <f>""</f>
        <v/>
      </c>
      <c r="E184" s="3" t="str">
        <f>""</f>
        <v/>
      </c>
      <c r="F184" s="4">
        <v>14374934.84</v>
      </c>
    </row>
    <row r="185" spans="1:6">
      <c r="A185" s="3" t="str">
        <f>"5766"</f>
        <v>5766</v>
      </c>
      <c r="B185" s="3" t="str">
        <f>"Налог на транспортные средства"</f>
        <v>Налог на транспортные средства</v>
      </c>
      <c r="C185" s="3" t="str">
        <f>""</f>
        <v/>
      </c>
      <c r="D185" s="3" t="str">
        <f>""</f>
        <v/>
      </c>
      <c r="E185" s="3" t="str">
        <f>""</f>
        <v/>
      </c>
      <c r="F185" s="4">
        <v>134475</v>
      </c>
    </row>
    <row r="186" spans="1:6">
      <c r="A186" s="3" t="str">
        <f>"5768"</f>
        <v>5768</v>
      </c>
      <c r="B186" s="3" t="str">
        <f>"Прочие налоги и обязательные платежи в бюджет"</f>
        <v>Прочие налоги и обязательные платежи в бюджет</v>
      </c>
      <c r="C186" s="3" t="str">
        <f>""</f>
        <v/>
      </c>
      <c r="D186" s="3" t="str">
        <f>""</f>
        <v/>
      </c>
      <c r="E186" s="3" t="str">
        <f>""</f>
        <v/>
      </c>
      <c r="F186" s="4">
        <v>48087370</v>
      </c>
    </row>
    <row r="187" spans="1:6">
      <c r="A187" s="3" t="str">
        <f>"5781"</f>
        <v>5781</v>
      </c>
      <c r="B187" s="3" t="str">
        <f>"Расходы по амортизации зданий и сооружений"</f>
        <v>Расходы по амортизации зданий и сооружений</v>
      </c>
      <c r="C187" s="3" t="str">
        <f>""</f>
        <v/>
      </c>
      <c r="D187" s="3" t="str">
        <f>""</f>
        <v/>
      </c>
      <c r="E187" s="3" t="str">
        <f>""</f>
        <v/>
      </c>
      <c r="F187" s="4">
        <v>25749337.800000001</v>
      </c>
    </row>
    <row r="188" spans="1:6">
      <c r="A188" s="3" t="str">
        <f>"5782"</f>
        <v>5782</v>
      </c>
      <c r="B188" s="3" t="str">
        <f>"Расходы по амортизации компьютерного оборудования"</f>
        <v>Расходы по амортизации компьютерного оборудования</v>
      </c>
      <c r="C188" s="3" t="str">
        <f>""</f>
        <v/>
      </c>
      <c r="D188" s="3" t="str">
        <f>""</f>
        <v/>
      </c>
      <c r="E188" s="3" t="str">
        <f>""</f>
        <v/>
      </c>
      <c r="F188" s="4">
        <v>22421858.940000001</v>
      </c>
    </row>
    <row r="189" spans="1:6">
      <c r="A189" s="3" t="str">
        <f>"5783"</f>
        <v>5783</v>
      </c>
      <c r="B189" s="3" t="str">
        <f>"Расходы по амортизации прочих основных средств"</f>
        <v>Расходы по амортизации прочих основных средств</v>
      </c>
      <c r="C189" s="3" t="str">
        <f>""</f>
        <v/>
      </c>
      <c r="D189" s="3" t="str">
        <f>""</f>
        <v/>
      </c>
      <c r="E189" s="3" t="str">
        <f>""</f>
        <v/>
      </c>
      <c r="F189" s="4">
        <v>9819629.7599999998</v>
      </c>
    </row>
    <row r="190" spans="1:6">
      <c r="A190" s="3" t="str">
        <f>"5784"</f>
        <v>5784</v>
      </c>
      <c r="B190" s="3" t="str">
        <f>"Расходы по амортизации активов в форме права пользования"</f>
        <v>Расходы по амортизации активов в форме права пользования</v>
      </c>
      <c r="C190" s="3" t="str">
        <f>""</f>
        <v/>
      </c>
      <c r="D190" s="3" t="str">
        <f>""</f>
        <v/>
      </c>
      <c r="E190" s="3" t="str">
        <f>""</f>
        <v/>
      </c>
      <c r="F190" s="4">
        <v>8879382</v>
      </c>
    </row>
    <row r="191" spans="1:6">
      <c r="A191" s="3" t="str">
        <f>"5787"</f>
        <v>5787</v>
      </c>
      <c r="B191" s="3" t="str">
        <f>"Расходы по амортизации транспортных средств"</f>
        <v>Расходы по амортизации транспортных средств</v>
      </c>
      <c r="C191" s="3" t="str">
        <f>""</f>
        <v/>
      </c>
      <c r="D191" s="3" t="str">
        <f>""</f>
        <v/>
      </c>
      <c r="E191" s="3" t="str">
        <f>""</f>
        <v/>
      </c>
      <c r="F191" s="4">
        <v>3026899.98</v>
      </c>
    </row>
    <row r="192" spans="1:6">
      <c r="A192" s="3" t="str">
        <f>"5788"</f>
        <v>5788</v>
      </c>
      <c r="B192" s="3" t="str">
        <f>"Расходы по амортизации нематериальных активов"</f>
        <v>Расходы по амортизации нематериальных активов</v>
      </c>
      <c r="C192" s="3" t="str">
        <f>""</f>
        <v/>
      </c>
      <c r="D192" s="3" t="str">
        <f>""</f>
        <v/>
      </c>
      <c r="E192" s="3" t="str">
        <f>""</f>
        <v/>
      </c>
      <c r="F192" s="4">
        <v>21704165.760000002</v>
      </c>
    </row>
    <row r="193" spans="1:6">
      <c r="A193" s="3" t="str">
        <f>"5900"</f>
        <v>5900</v>
      </c>
      <c r="B193" s="3" t="str">
        <f>"Неустойка (штраф, пеня)"</f>
        <v>Неустойка (штраф, пеня)</v>
      </c>
      <c r="C193" s="3" t="str">
        <f>""</f>
        <v/>
      </c>
      <c r="D193" s="3" t="str">
        <f>""</f>
        <v/>
      </c>
      <c r="E193" s="3" t="str">
        <f>""</f>
        <v/>
      </c>
      <c r="F193" s="4">
        <v>1118820</v>
      </c>
    </row>
    <row r="194" spans="1:6">
      <c r="A194" s="3" t="str">
        <f>"5921"</f>
        <v>5921</v>
      </c>
      <c r="B194" s="3" t="str">
        <f>"Прочие расходы от банковской деятельности"</f>
        <v>Прочие расходы от банковской деятельности</v>
      </c>
      <c r="C194" s="3" t="str">
        <f>""</f>
        <v/>
      </c>
      <c r="D194" s="3" t="str">
        <f>""</f>
        <v/>
      </c>
      <c r="E194" s="3" t="str">
        <f>""</f>
        <v/>
      </c>
      <c r="F194" s="4">
        <v>7.54</v>
      </c>
    </row>
    <row r="195" spans="1:6">
      <c r="A195" s="3" t="str">
        <f>"5922"</f>
        <v>5922</v>
      </c>
      <c r="B195" s="3" t="str">
        <f>"Прочие расходы от неосновной деятельности"</f>
        <v>Прочие расходы от неосновной деятельности</v>
      </c>
      <c r="C195" s="3" t="str">
        <f>""</f>
        <v/>
      </c>
      <c r="D195" s="3" t="str">
        <f>""</f>
        <v/>
      </c>
      <c r="E195" s="3" t="str">
        <f>""</f>
        <v/>
      </c>
      <c r="F195" s="4">
        <v>5113096</v>
      </c>
    </row>
    <row r="196" spans="1:6">
      <c r="A196" s="3" t="str">
        <f>"5923"</f>
        <v>5923</v>
      </c>
      <c r="B196" s="3" t="str">
        <f>"Расходы по аренде"</f>
        <v>Расходы по аренде</v>
      </c>
      <c r="C196" s="3" t="str">
        <f>""</f>
        <v/>
      </c>
      <c r="D196" s="3" t="str">
        <f>""</f>
        <v/>
      </c>
      <c r="E196" s="3" t="str">
        <f>""</f>
        <v/>
      </c>
      <c r="F196" s="4">
        <v>3196529.5</v>
      </c>
    </row>
    <row r="197" spans="1:6">
      <c r="A197" s="3" t="str">
        <f>"5999"</f>
        <v>5999</v>
      </c>
      <c r="B197" s="3" t="str">
        <f>"Корпоративный подоходный налог"</f>
        <v>Корпоративный подоходный налог</v>
      </c>
      <c r="C197" s="3" t="str">
        <f>""</f>
        <v/>
      </c>
      <c r="D197" s="3" t="str">
        <f>""</f>
        <v/>
      </c>
      <c r="E197" s="3" t="str">
        <f>""</f>
        <v/>
      </c>
      <c r="F197" s="4">
        <v>1755187709</v>
      </c>
    </row>
    <row r="198" spans="1:6">
      <c r="A198" s="3" t="str">
        <f>"6055"</f>
        <v>6055</v>
      </c>
      <c r="B198" s="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198" s="3" t="str">
        <f>""</f>
        <v/>
      </c>
      <c r="D198" s="3" t="str">
        <f>""</f>
        <v/>
      </c>
      <c r="E198" s="3" t="str">
        <f>""</f>
        <v/>
      </c>
      <c r="F198" s="4">
        <v>29419993642.880001</v>
      </c>
    </row>
    <row r="199" spans="1:6">
      <c r="A199" s="3" t="str">
        <f>"6075"</f>
        <v>6075</v>
      </c>
      <c r="B199" s="3" t="str">
        <f>"Возможные требования по принятым гарантиям"</f>
        <v>Возможные требования по принятым гарантиям</v>
      </c>
      <c r="C199" s="3" t="str">
        <f>""</f>
        <v/>
      </c>
      <c r="D199" s="3" t="str">
        <f>""</f>
        <v/>
      </c>
      <c r="E199" s="3" t="str">
        <f>""</f>
        <v/>
      </c>
      <c r="F199" s="4">
        <v>67171488543.440002</v>
      </c>
    </row>
    <row r="200" spans="1:6">
      <c r="A200" s="3" t="str">
        <f>"6125"</f>
        <v>6125</v>
      </c>
      <c r="B200" s="3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200" s="3" t="str">
        <f>""</f>
        <v/>
      </c>
      <c r="D200" s="3" t="str">
        <f>""</f>
        <v/>
      </c>
      <c r="E200" s="3" t="str">
        <f>""</f>
        <v/>
      </c>
      <c r="F200" s="4">
        <v>3229166666.6700001</v>
      </c>
    </row>
    <row r="201" spans="1:6">
      <c r="A201" s="3" t="str">
        <f>"6405"</f>
        <v>6405</v>
      </c>
      <c r="B201" s="3" t="str">
        <f>"Условные требования по купле-продаже иностранной валюты"</f>
        <v>Условные требования по купле-продаже иностранной валюты</v>
      </c>
      <c r="C201" s="3" t="str">
        <f>""</f>
        <v/>
      </c>
      <c r="D201" s="3" t="str">
        <f>""</f>
        <v/>
      </c>
      <c r="E201" s="3" t="str">
        <f>""</f>
        <v/>
      </c>
      <c r="F201" s="4">
        <v>4733488300</v>
      </c>
    </row>
    <row r="202" spans="1:6">
      <c r="A202" s="3" t="str">
        <f>"6555"</f>
        <v>6555</v>
      </c>
      <c r="B202" s="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202" s="3" t="str">
        <f>""</f>
        <v/>
      </c>
      <c r="D202" s="3" t="str">
        <f>""</f>
        <v/>
      </c>
      <c r="E202" s="3" t="str">
        <f>""</f>
        <v/>
      </c>
      <c r="F202" s="4">
        <v>29419993642.880001</v>
      </c>
    </row>
    <row r="203" spans="1:6">
      <c r="A203" s="3" t="str">
        <f>"6575"</f>
        <v>6575</v>
      </c>
      <c r="B203" s="3" t="str">
        <f>"Возможное уменьшение требований по принятым гарантиям"</f>
        <v>Возможное уменьшение требований по принятым гарантиям</v>
      </c>
      <c r="C203" s="3" t="str">
        <f>""</f>
        <v/>
      </c>
      <c r="D203" s="3" t="str">
        <f>""</f>
        <v/>
      </c>
      <c r="E203" s="3" t="str">
        <f>""</f>
        <v/>
      </c>
      <c r="F203" s="4">
        <v>67171488543.440002</v>
      </c>
    </row>
    <row r="204" spans="1:6">
      <c r="A204" s="3" t="str">
        <f>"6625"</f>
        <v>6625</v>
      </c>
      <c r="B204" s="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204" s="3" t="str">
        <f>""</f>
        <v/>
      </c>
      <c r="D204" s="3" t="str">
        <f>""</f>
        <v/>
      </c>
      <c r="E204" s="3" t="str">
        <f>""</f>
        <v/>
      </c>
      <c r="F204" s="4">
        <v>3229166666.6700001</v>
      </c>
    </row>
    <row r="205" spans="1:6">
      <c r="A205" s="3" t="str">
        <f>"6905"</f>
        <v>6905</v>
      </c>
      <c r="B205" s="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205" s="3" t="str">
        <f>""</f>
        <v/>
      </c>
      <c r="D205" s="3" t="str">
        <f>""</f>
        <v/>
      </c>
      <c r="E205" s="3" t="str">
        <f>""</f>
        <v/>
      </c>
      <c r="F205" s="4">
        <v>4737308999.4499998</v>
      </c>
    </row>
    <row r="206" spans="1:6">
      <c r="A206" s="3" t="str">
        <f>"6999"</f>
        <v>6999</v>
      </c>
      <c r="B206" s="3" t="str">
        <f>"Позиция по сделкам с иностранной валютой"</f>
        <v>Позиция по сделкам с иностранной валютой</v>
      </c>
      <c r="C206" s="3" t="str">
        <f>""</f>
        <v/>
      </c>
      <c r="D206" s="3" t="str">
        <f>""</f>
        <v/>
      </c>
      <c r="E206" s="3" t="str">
        <f>""</f>
        <v/>
      </c>
      <c r="F206" s="4">
        <v>-3820699.45</v>
      </c>
    </row>
    <row r="207" spans="1:6">
      <c r="A207" s="3" t="str">
        <f>"7250"</f>
        <v>7250</v>
      </c>
      <c r="B207" s="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207" s="3" t="str">
        <f>""</f>
        <v/>
      </c>
      <c r="D207" s="3" t="str">
        <f>""</f>
        <v/>
      </c>
      <c r="E207" s="3" t="str">
        <f>""</f>
        <v/>
      </c>
      <c r="F207" s="4">
        <v>13043443363</v>
      </c>
    </row>
    <row r="208" spans="1:6">
      <c r="A208" s="3" t="str">
        <f>"7303"</f>
        <v>7303</v>
      </c>
      <c r="B208" s="3" t="str">
        <f>"Платежные документы, не оплаченные в срок"</f>
        <v>Платежные документы, не оплаченные в срок</v>
      </c>
      <c r="C208" s="3" t="str">
        <f>""</f>
        <v/>
      </c>
      <c r="D208" s="3" t="str">
        <f>""</f>
        <v/>
      </c>
      <c r="E208" s="3" t="str">
        <f>""</f>
        <v/>
      </c>
      <c r="F208" s="4">
        <v>8974073555.0699997</v>
      </c>
    </row>
    <row r="209" spans="1:6">
      <c r="A209" s="3" t="str">
        <f>"7339"</f>
        <v>7339</v>
      </c>
      <c r="B209" s="3" t="str">
        <f>"Разные ценности и документы"</f>
        <v>Разные ценности и документы</v>
      </c>
      <c r="C209" s="3" t="str">
        <f>""</f>
        <v/>
      </c>
      <c r="D209" s="3" t="str">
        <f>""</f>
        <v/>
      </c>
      <c r="E209" s="3" t="str">
        <f>""</f>
        <v/>
      </c>
      <c r="F209" s="4">
        <v>1514</v>
      </c>
    </row>
    <row r="212" spans="1:6">
      <c r="A212" s="8" t="s">
        <v>9</v>
      </c>
      <c r="B212" s="9"/>
      <c r="C212" s="9"/>
      <c r="D212" s="9"/>
      <c r="E212" s="9"/>
      <c r="F212" s="1"/>
    </row>
    <row r="213" spans="1:6">
      <c r="A213" s="10" t="s">
        <v>10</v>
      </c>
      <c r="B213" s="10"/>
      <c r="C213" s="10"/>
      <c r="D213" s="11" t="s">
        <v>11</v>
      </c>
      <c r="E213" s="11"/>
    </row>
    <row r="214" spans="1:6">
      <c r="A214" s="10" t="s">
        <v>12</v>
      </c>
      <c r="B214" s="10"/>
      <c r="C214" s="10"/>
      <c r="D214" s="11"/>
      <c r="E214" s="11"/>
    </row>
    <row r="215" spans="1:6">
      <c r="A215" s="10" t="s">
        <v>13</v>
      </c>
      <c r="B215" s="10"/>
      <c r="C215" s="10"/>
      <c r="D215" s="11"/>
      <c r="E215" s="11"/>
    </row>
    <row r="216" spans="1:6">
      <c r="A216" s="10" t="s">
        <v>14</v>
      </c>
      <c r="B216" s="10"/>
      <c r="C216" s="10"/>
      <c r="D216" s="12" t="s">
        <v>15</v>
      </c>
      <c r="E216" s="12"/>
    </row>
    <row r="217" spans="1:6">
      <c r="A217" s="13" t="s">
        <v>16</v>
      </c>
      <c r="B217" s="14"/>
      <c r="C217" s="14"/>
      <c r="D217" s="13"/>
      <c r="E217" s="13"/>
    </row>
    <row r="218" spans="1:6" ht="19.5" customHeight="1">
      <c r="A218" s="10" t="s">
        <v>17</v>
      </c>
      <c r="B218" s="10"/>
      <c r="C218" s="10"/>
      <c r="D218" s="12" t="s">
        <v>18</v>
      </c>
      <c r="E218" s="12"/>
    </row>
    <row r="219" spans="1:6">
      <c r="A219" s="10" t="s">
        <v>19</v>
      </c>
      <c r="B219" s="10"/>
      <c r="C219" s="10"/>
      <c r="D219" s="15"/>
      <c r="E219" s="15"/>
    </row>
  </sheetData>
  <mergeCells count="9">
    <mergeCell ref="A218:C218"/>
    <mergeCell ref="D218:E218"/>
    <mergeCell ref="A219:C219"/>
    <mergeCell ref="A213:C213"/>
    <mergeCell ref="D213:E215"/>
    <mergeCell ref="A214:C214"/>
    <mergeCell ref="A215:C215"/>
    <mergeCell ref="A216:C216"/>
    <mergeCell ref="D216:E2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isayeva.t</dc:creator>
  <cp:lastModifiedBy>isayeva.t</cp:lastModifiedBy>
  <dcterms:created xsi:type="dcterms:W3CDTF">2023-07-03T10:08:54Z</dcterms:created>
  <dcterms:modified xsi:type="dcterms:W3CDTF">2023-07-03T10:17:00Z</dcterms:modified>
</cp:coreProperties>
</file>