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aashimova\Desktop\ОТЧЕТЫ\Отчетность 2019\БИРЖА\2 квартал 2019г\"/>
    </mc:Choice>
  </mc:AlternateContent>
  <xr:revisionPtr revIDLastSave="0" documentId="13_ncr:1_{67AB4401-C393-4E47-955E-D881E104D741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3" l="1"/>
  <c r="C57" i="3"/>
  <c r="D14" i="3"/>
  <c r="C14" i="3"/>
  <c r="D36" i="1"/>
  <c r="D32" i="1"/>
  <c r="D34" i="1"/>
  <c r="D33" i="1"/>
  <c r="D31" i="1"/>
  <c r="D14" i="1"/>
  <c r="E35" i="1" l="1"/>
  <c r="E36" i="1"/>
  <c r="E34" i="1"/>
  <c r="E31" i="1"/>
  <c r="G24" i="1" l="1"/>
  <c r="G25" i="1"/>
  <c r="D52" i="3" l="1"/>
  <c r="D46" i="3"/>
  <c r="D15" i="3"/>
  <c r="D8" i="3"/>
  <c r="E8" i="2"/>
  <c r="E17" i="2" s="1"/>
  <c r="E19" i="2" s="1"/>
  <c r="E21" i="2" s="1"/>
  <c r="E23" i="2" s="1"/>
  <c r="D58" i="3" l="1"/>
  <c r="D24" i="3"/>
  <c r="D27" i="2" l="1"/>
  <c r="C63" i="3" s="1"/>
  <c r="C35" i="4" s="1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59" i="3" s="1"/>
  <c r="D61" i="3" s="1"/>
  <c r="C44" i="3"/>
  <c r="C24" i="3"/>
  <c r="D54" i="1"/>
  <c r="H19" i="4"/>
  <c r="C19" i="4"/>
  <c r="I26" i="4"/>
  <c r="G21" i="4"/>
  <c r="D21" i="2"/>
  <c r="D23" i="2" s="1"/>
  <c r="E13" i="4" l="1"/>
  <c r="G13" i="4" s="1"/>
  <c r="G28" i="4"/>
  <c r="I28" i="4" s="1"/>
  <c r="C59" i="3"/>
  <c r="C61" i="3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<sst xmlns="http://schemas.openxmlformats.org/spreadsheetml/2006/main" count="337" uniqueCount="241">
  <si>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</si>
  <si>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</si>
  <si>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</si>
  <si>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</si>
  <si>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</si>
  <si>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</si>
  <si>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</si>
  <si>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</si>
  <si>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</si>
  <si>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</si>
  <si>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</si>
  <si>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</si>
  <si>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</si>
  <si>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</si>
  <si>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</si>
  <si>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</si>
  <si>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</si>
  <si>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</si>
  <si>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</si>
  <si>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</si>
  <si>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</si>
  <si>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</si>
  <si>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</si>
  <si>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</si>
  <si>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</si>
  <si>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</si>
  <si>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</si>
  <si>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</si>
  <si>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</si>
  <si>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</si>
  <si>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</si>
  <si>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</si>
  <si>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</si>
  <si>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</si>
  <si>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</si>
  <si>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</si>
  <si>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</si>
  <si>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</si>
  <si>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</si>
  <si>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</si>
  <si>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</si>
  <si>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</si>
  <si>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</si>
  <si>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</si>
  <si>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</si>
  <si>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</si>
  <si>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</si>
  <si>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</si>
  <si>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</si>
  <si>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</si>
  <si>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</si>
  <si>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</si>
  <si>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</si>
  <si>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</si>
  <si>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</si>
  <si>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</si>
  <si>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</si>
  <si>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</si>
  <si>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</si>
  <si>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</si>
  <si>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</si>
  <si>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</si>
  <si>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</si>
  <si>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</si>
  <si>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</si>
  <si>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</si>
  <si>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</si>
  <si>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</si>
  <si>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</si>
  <si>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</si>
  <si>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</si>
  <si>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</si>
  <si>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</si>
  <si>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</si>
  <si>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</si>
  <si>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</si>
  <si>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</si>
  <si>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</si>
  <si>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</si>
  <si>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</si>
  <si>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</si>
  <si>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</si>
  <si>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</si>
  <si>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</si>
  <si>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</si>
  <si>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</si>
  <si>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</si>
  <si>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</si>
  <si>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</si>
  <si>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</si>
  <si>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</si>
  <si>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</si>
  <si>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</si>
  <si>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</si>
  <si>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</si>
  <si>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</si>
  <si>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</si>
  <si>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</si>
  <si>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</si>
  <si>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</si>
  <si>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</si>
  <si>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</si>
  <si>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</si>
  <si>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</si>
  <si>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</si>
  <si>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</si>
  <si>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</si>
  <si>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</si>
  <si>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</si>
  <si>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</si>
  <si>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</si>
  <si>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</si>
  <si>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</si>
  <si>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</si>
  <si>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</si>
  <si>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</si>
  <si>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</si>
  <si>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</si>
  <si>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</si>
  <si>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</si>
  <si>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</si>
  <si>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</si>
  <si>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</si>
  <si>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</si>
  <si>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</si>
  <si>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</si>
  <si>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</si>
  <si>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</si>
  <si>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</si>
  <si>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</si>
  <si>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</si>
  <si>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</si>
  <si>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</si>
  <si>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</si>
  <si>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</si>
  <si>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</si>
  <si>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</si>
  <si>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</si>
  <si>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</si>
  <si>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</si>
  <si>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</si>
  <si>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</si>
  <si>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</si>
  <si>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</si>
  <si>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</si>
  <si>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</si>
  <si>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</si>
  <si>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</si>
  <si>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</si>
  <si>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</si>
  <si>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</si>
  <si>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</si>
  <si>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</si>
  <si>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</si>
  <si>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</si>
  <si>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</si>
  <si>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</si>
  <si>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</si>
  <si>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</si>
  <si>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</si>
  <si>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</si>
  <si>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</si>
  <si>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</si>
  <si>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</si>
  <si>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</si>
  <si>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</si>
  <si>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</si>
  <si>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</si>
  <si>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</si>
  <si>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</si>
  <si>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</si>
  <si>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</si>
  <si>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</si>
  <si>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</si>
  <si>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</si>
  <si>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</si>
  <si>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</si>
  <si>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</si>
  <si>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</si>
  <si>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</si>
  <si>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</si>
  <si>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</si>
  <si>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</si>
  <si>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</si>
  <si>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</si>
  <si>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</si>
  <si>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</si>
  <si>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</si>
  <si>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</si>
  <si>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</si>
  <si>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</si>
  <si>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</si>
  <si>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</si>
  <si>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</si>
  <si>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</si>
  <si>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</si>
  <si>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</si>
  <si>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</si>
  <si>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</si>
  <si>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</si>
  <si>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</si>
  <si>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</si>
  <si>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</si>
  <si>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</si>
  <si>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</si>
  <si>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</si>
  <si>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</si>
  <si>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</si>
  <si>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</si>
  <si>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</si>
  <si>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</si>
  <si>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</si>
  <si>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</si>
  <si>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</si>
  <si>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</si>
  <si>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</si>
  <si>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</si>
  <si>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</si>
  <si>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</si>
  <si>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</si>
  <si>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</si>
  <si>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</si>
  <si>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</si>
  <si>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</si>
  <si>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</si>
  <si>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</si>
  <si>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</si>
  <si>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</si>
  <si>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</si>
  <si>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>Байжанов Н.Ю.</t>
  </si>
  <si>
    <t>Прибыль/убыток за 2018 год</t>
  </si>
  <si>
    <t>Сальдо на 01 января 2019 года</t>
  </si>
  <si>
    <t>Сальдо на 1 января 2018 года</t>
  </si>
  <si>
    <t>Сальдо на 01.01.2019 года (стр. 160 - стр. 170 + стр. 180 - стр.190)</t>
  </si>
  <si>
    <t xml:space="preserve">                                                                                  по состоянию на 30 июня 2019 года</t>
  </si>
  <si>
    <t xml:space="preserve"> за период, заканчивающийся  30 июня 2019 года</t>
  </si>
  <si>
    <t xml:space="preserve">                                                                        за период,заканчивающийся 30 июня 2019 года</t>
  </si>
  <si>
    <t>за период, заканчивающийся на 30 июня 2019 года</t>
  </si>
  <si>
    <t>Прибыль/убыток за отчетный период -1 полугодие 2019г.</t>
  </si>
  <si>
    <t xml:space="preserve">            выплата дивидендов (выкуп облигаций)</t>
  </si>
  <si>
    <t>Сальдо на 30.06.2019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</si>
</sst>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H61"/>
  <sheetViews>
    <sheetView topLeftCell="A31" zoomScale="110" zoomScaleNormal="110" zoomScaleSheetLayoutView="110" workbookViewId="0">
      <selection activeCell="H64" sqref="H64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2" t="s">
        <v>217</v>
      </c>
      <c r="B3" s="102"/>
      <c r="C3" s="102"/>
      <c r="D3" s="102"/>
      <c r="E3" s="102"/>
    </row>
    <row r="4" spans="1:5" x14ac:dyDescent="0.25">
      <c r="A4" s="30" t="s">
        <v>234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2020343</v>
      </c>
      <c r="E8" s="82">
        <v>1028115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v>221321</v>
      </c>
      <c r="E10" s="82">
        <v>526544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74183</v>
      </c>
      <c r="E11" s="82">
        <v>45788</v>
      </c>
    </row>
    <row r="12" spans="1:5" x14ac:dyDescent="0.25">
      <c r="A12" s="39" t="s">
        <v>14</v>
      </c>
      <c r="B12" s="40"/>
      <c r="C12" s="41" t="s">
        <v>15</v>
      </c>
      <c r="D12" s="82"/>
      <c r="E12" s="82">
        <v>51717</v>
      </c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85">
        <f>1347+70748</f>
        <v>72095</v>
      </c>
      <c r="E14" s="82">
        <v>29061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2387942</v>
      </c>
      <c r="E15" s="44">
        <f>SUM(E8:E14)</f>
        <v>1681225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>
        <v>91664</v>
      </c>
      <c r="E18" s="42">
        <v>145771</v>
      </c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373952</v>
      </c>
      <c r="E21" s="82">
        <v>371422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9021765</v>
      </c>
      <c r="E24" s="82">
        <v>9494534</v>
      </c>
      <c r="F24" s="45">
        <f>9558273</f>
        <v>9558273</v>
      </c>
      <c r="G24" s="97">
        <f>E24</f>
        <v>9494534</v>
      </c>
      <c r="H24" s="29" t="s">
        <v>227</v>
      </c>
    </row>
    <row r="25" spans="1:8" x14ac:dyDescent="0.25">
      <c r="A25" s="39" t="s">
        <v>39</v>
      </c>
      <c r="B25" s="40">
        <v>24</v>
      </c>
      <c r="C25" s="41" t="s">
        <v>40</v>
      </c>
      <c r="D25" s="83"/>
      <c r="E25" s="83"/>
      <c r="F25" s="45">
        <f>10445114</f>
        <v>10445114</v>
      </c>
      <c r="G25" s="47">
        <f>D24</f>
        <v>9021765</v>
      </c>
      <c r="H25" s="29" t="s">
        <v>228</v>
      </c>
    </row>
    <row r="26" spans="1:8" x14ac:dyDescent="0.25">
      <c r="A26" s="39" t="s">
        <v>41</v>
      </c>
      <c r="B26" s="40"/>
      <c r="C26" s="41" t="s">
        <v>42</v>
      </c>
      <c r="D26" s="82"/>
      <c r="E26" s="82"/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9487381</v>
      </c>
      <c r="E27" s="84">
        <f>SUM(E17:E26)</f>
        <v>10011727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11875323</v>
      </c>
      <c r="E28" s="84">
        <f>E15+E27</f>
        <v>11692952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f>895019+1094869</f>
        <v>1989888</v>
      </c>
      <c r="E31" s="83">
        <f>895087+523376</f>
        <v>1418463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f>9102+152523+1465+2+44689</f>
        <v>207781</v>
      </c>
      <c r="E32" s="83">
        <v>128516</v>
      </c>
      <c r="F32" s="47"/>
    </row>
    <row r="33" spans="1:6" ht="30" x14ac:dyDescent="0.25">
      <c r="A33" s="48" t="s">
        <v>53</v>
      </c>
      <c r="B33" s="49">
        <v>17</v>
      </c>
      <c r="C33" s="41" t="s">
        <v>54</v>
      </c>
      <c r="D33" s="82">
        <f>282+364+5810</f>
        <v>6456</v>
      </c>
      <c r="E33" s="82">
        <v>5971</v>
      </c>
    </row>
    <row r="34" spans="1:6" x14ac:dyDescent="0.25">
      <c r="A34" s="39" t="s">
        <v>55</v>
      </c>
      <c r="B34" s="40">
        <v>16</v>
      </c>
      <c r="C34" s="41" t="s">
        <v>56</v>
      </c>
      <c r="D34" s="82">
        <f>49789+24670</f>
        <v>74459</v>
      </c>
      <c r="E34" s="82">
        <f>59857+20774</f>
        <v>80631</v>
      </c>
    </row>
    <row r="35" spans="1:6" x14ac:dyDescent="0.25">
      <c r="A35" s="39" t="s">
        <v>57</v>
      </c>
      <c r="B35" s="40"/>
      <c r="C35" s="41" t="s">
        <v>58</v>
      </c>
      <c r="D35" s="82">
        <v>17355</v>
      </c>
      <c r="E35" s="82">
        <f>32083</f>
        <v>32083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f>22541+18864+539</f>
        <v>41944</v>
      </c>
      <c r="E36" s="82">
        <f>134639-E32-E33+13240</f>
        <v>13392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2337883</v>
      </c>
      <c r="E37" s="84">
        <f>SUM(E31:E36)</f>
        <v>1679056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6746806</v>
      </c>
      <c r="E39" s="82">
        <v>6937400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16719142</v>
      </c>
      <c r="E40" s="82">
        <v>17575501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23465948</v>
      </c>
      <c r="E45" s="44">
        <f>SUM(E39:E44)</f>
        <v>24512901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v>-32875988</v>
      </c>
      <c r="E51" s="42">
        <v>-33446485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-13928508</v>
      </c>
      <c r="E53" s="44">
        <f>SUM(E47:E52)</f>
        <v>-14499005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11875323</v>
      </c>
      <c r="E54" s="44">
        <f>E37+E45+E53</f>
        <v>11692952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91">
        <f>(D53-G25)/11861*1000</f>
        <v>-1934935.7558384622</v>
      </c>
      <c r="E55" s="92">
        <f>(E53-G24)/11861*1000</f>
        <v>-2022893.4322569766</v>
      </c>
    </row>
    <row r="56" spans="1:7" x14ac:dyDescent="0.25">
      <c r="A56" s="51" t="s">
        <v>95</v>
      </c>
      <c r="B56" s="52"/>
      <c r="C56" s="53"/>
      <c r="D56" s="96"/>
      <c r="E56" s="101"/>
    </row>
    <row r="57" spans="1:7" x14ac:dyDescent="0.25">
      <c r="A57" s="52"/>
      <c r="B57" s="52"/>
      <c r="C57" s="53"/>
      <c r="D57" s="101"/>
      <c r="E57" s="101"/>
    </row>
    <row r="58" spans="1:7" s="30" customFormat="1" ht="16.5" customHeight="1" x14ac:dyDescent="0.2">
      <c r="A58" s="54" t="s">
        <v>223</v>
      </c>
      <c r="B58" s="54"/>
      <c r="C58" s="55"/>
      <c r="D58" s="30" t="s">
        <v>229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214</v>
      </c>
      <c r="C60" s="55"/>
      <c r="D60" s="30" t="s">
        <v>225</v>
      </c>
    </row>
    <row r="61" spans="1:7" x14ac:dyDescent="0.25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33"/>
  <sheetViews>
    <sheetView showWhiteSpace="0" view="pageBreakPreview" zoomScale="120" zoomScaleSheetLayoutView="120" workbookViewId="0">
      <selection activeCell="E21" sqref="E21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5" t="s">
        <v>218</v>
      </c>
      <c r="B1" s="105"/>
      <c r="C1" s="106"/>
      <c r="D1" s="106"/>
      <c r="E1" s="106"/>
    </row>
    <row r="2" spans="1:5" x14ac:dyDescent="0.25">
      <c r="A2" s="105" t="s">
        <v>235</v>
      </c>
      <c r="B2" s="105"/>
      <c r="C2" s="106"/>
      <c r="D2" s="106"/>
      <c r="E2" s="106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3483150</v>
      </c>
      <c r="E6" s="7">
        <v>2924093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-1504973</v>
      </c>
      <c r="E7" s="7">
        <v>-1222000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1978177</v>
      </c>
      <c r="E8" s="9">
        <f>SUM(E6:E7)</f>
        <v>1702093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80947</v>
      </c>
      <c r="E9" s="7">
        <v>43799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1032</v>
      </c>
      <c r="E10" s="7">
        <v>11651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-276301</v>
      </c>
      <c r="E12" s="7">
        <v>-246845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-1052972</v>
      </c>
      <c r="E13" s="7">
        <v>-1141433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18058</v>
      </c>
      <c r="E14" s="7">
        <v>-9113</v>
      </c>
    </row>
    <row r="15" spans="1:5" ht="15.75" thickBot="1" x14ac:dyDescent="0.3">
      <c r="A15" s="103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4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748941</v>
      </c>
      <c r="E17" s="9">
        <f>SUM(E8:E14)</f>
        <v>360152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748941</v>
      </c>
      <c r="E19" s="9">
        <f>E17-E18</f>
        <v>360152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178444</v>
      </c>
      <c r="E20" s="7">
        <v>145028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D19-D20</f>
        <v>570497</v>
      </c>
      <c r="E21" s="9">
        <f>E19-E20</f>
        <v>215124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129</v>
      </c>
      <c r="B23" s="27"/>
      <c r="C23" s="15" t="s">
        <v>128</v>
      </c>
      <c r="D23" s="9">
        <f>D21+D22</f>
        <v>570497</v>
      </c>
      <c r="E23" s="9">
        <f>E21+E22</f>
        <v>215124</v>
      </c>
    </row>
    <row r="24" spans="1:5" ht="26.25" thickBot="1" x14ac:dyDescent="0.3">
      <c r="A24" s="6" t="s">
        <v>130</v>
      </c>
      <c r="B24" s="26">
        <v>25</v>
      </c>
      <c r="C24" s="14" t="s">
        <v>131</v>
      </c>
      <c r="D24" s="93">
        <f>D23/11861*1000</f>
        <v>48098.558300311954</v>
      </c>
      <c r="E24" s="94">
        <f>E23/11861*1000</f>
        <v>18137.08793524998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224</v>
      </c>
      <c r="B27" s="12"/>
      <c r="C27" s="17"/>
      <c r="D27" s="17" t="str">
        <f>Баланс!D58</f>
        <v>Байжанов Н.Ю.</v>
      </c>
      <c r="E27" s="17"/>
    </row>
    <row r="28" spans="1:5" s="58" customFormat="1" ht="14.25" x14ac:dyDescent="0.2">
      <c r="A28" s="16" t="s">
        <v>132</v>
      </c>
      <c r="B28" s="16"/>
      <c r="C28" s="17"/>
      <c r="D28" s="17"/>
      <c r="E28" s="17"/>
    </row>
    <row r="29" spans="1:5" s="58" customFormat="1" ht="14.25" x14ac:dyDescent="0.2">
      <c r="A29" s="12" t="s">
        <v>215</v>
      </c>
      <c r="B29" s="12"/>
      <c r="C29" s="17"/>
      <c r="D29" s="17" t="s">
        <v>225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E66"/>
  <sheetViews>
    <sheetView view="pageBreakPreview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3" t="s">
        <v>219</v>
      </c>
      <c r="B3" s="114"/>
      <c r="C3" s="114"/>
      <c r="D3" s="114"/>
    </row>
    <row r="4" spans="1:4" x14ac:dyDescent="0.25">
      <c r="A4" s="115" t="s">
        <v>236</v>
      </c>
      <c r="B4" s="116"/>
      <c r="C4" s="116"/>
      <c r="D4" s="116"/>
    </row>
    <row r="5" spans="1:4" x14ac:dyDescent="0.25">
      <c r="D5" s="62" t="s">
        <v>0</v>
      </c>
    </row>
    <row r="6" spans="1:4" s="58" customFormat="1" ht="30" customHeight="1" x14ac:dyDescent="0.2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7" t="s">
        <v>134</v>
      </c>
      <c r="B7" s="108"/>
      <c r="C7" s="108"/>
      <c r="D7" s="109"/>
    </row>
    <row r="8" spans="1:4" s="58" customFormat="1" ht="14.25" x14ac:dyDescent="0.2">
      <c r="A8" s="66" t="s">
        <v>135</v>
      </c>
      <c r="B8" s="67" t="s">
        <v>7</v>
      </c>
      <c r="C8" s="68">
        <f>SUM(C10:C14)</f>
        <v>4349129</v>
      </c>
      <c r="D8" s="68">
        <f>SUM(D10:D14)</f>
        <v>3667338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4202143</v>
      </c>
      <c r="D11" s="71">
        <v>3629513</v>
      </c>
    </row>
    <row r="12" spans="1:4" x14ac:dyDescent="0.25">
      <c r="A12" s="69" t="s">
        <v>139</v>
      </c>
      <c r="B12" s="70" t="s">
        <v>13</v>
      </c>
      <c r="C12" s="42">
        <v>72335</v>
      </c>
      <c r="D12" s="71"/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f>58982+15669</f>
        <v>74651</v>
      </c>
      <c r="D14" s="71">
        <f>241+37584</f>
        <v>37825</v>
      </c>
    </row>
    <row r="15" spans="1:4" s="58" customFormat="1" ht="14.25" x14ac:dyDescent="0.2">
      <c r="A15" s="66" t="s">
        <v>142</v>
      </c>
      <c r="B15" s="67" t="s">
        <v>24</v>
      </c>
      <c r="C15" s="44">
        <f>SUM(C16:C23)</f>
        <v>1873913</v>
      </c>
      <c r="D15" s="44">
        <f>SUM(D17:D23)</f>
        <v>1530151</v>
      </c>
    </row>
    <row r="16" spans="1:4" s="58" customFormat="1" ht="14.25" x14ac:dyDescent="0.2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651208</v>
      </c>
      <c r="D17" s="71">
        <v>228146</v>
      </c>
    </row>
    <row r="18" spans="1:5" x14ac:dyDescent="0.25">
      <c r="A18" s="69" t="s">
        <v>144</v>
      </c>
      <c r="B18" s="70" t="s">
        <v>28</v>
      </c>
      <c r="C18" s="42">
        <v>505075</v>
      </c>
      <c r="D18" s="71">
        <v>182150</v>
      </c>
    </row>
    <row r="19" spans="1:5" x14ac:dyDescent="0.25">
      <c r="A19" s="69" t="s">
        <v>145</v>
      </c>
      <c r="B19" s="70" t="s">
        <v>30</v>
      </c>
      <c r="C19" s="42">
        <v>164533</v>
      </c>
      <c r="D19" s="71">
        <v>393991</v>
      </c>
    </row>
    <row r="20" spans="1:5" x14ac:dyDescent="0.25">
      <c r="A20" s="69" t="s">
        <v>146</v>
      </c>
      <c r="B20" s="70" t="s">
        <v>32</v>
      </c>
      <c r="C20" s="42">
        <v>24509</v>
      </c>
      <c r="D20" s="71">
        <v>26445</v>
      </c>
    </row>
    <row r="21" spans="1:5" x14ac:dyDescent="0.25">
      <c r="A21" s="69" t="s">
        <v>147</v>
      </c>
      <c r="B21" s="70" t="s">
        <v>34</v>
      </c>
      <c r="C21" s="42"/>
      <c r="D21" s="71"/>
    </row>
    <row r="22" spans="1:5" x14ac:dyDescent="0.25">
      <c r="A22" s="69" t="s">
        <v>148</v>
      </c>
      <c r="B22" s="70" t="s">
        <v>36</v>
      </c>
      <c r="C22" s="42">
        <v>479599</v>
      </c>
      <c r="D22" s="71">
        <v>613477</v>
      </c>
    </row>
    <row r="23" spans="1:5" x14ac:dyDescent="0.25">
      <c r="A23" s="69" t="s">
        <v>149</v>
      </c>
      <c r="B23" s="70" t="s">
        <v>38</v>
      </c>
      <c r="C23" s="42">
        <v>48989</v>
      </c>
      <c r="D23" s="71">
        <v>85942</v>
      </c>
    </row>
    <row r="24" spans="1:5" s="58" customFormat="1" ht="25.5" x14ac:dyDescent="0.2">
      <c r="A24" s="72" t="s">
        <v>150</v>
      </c>
      <c r="B24" s="67" t="s">
        <v>48</v>
      </c>
      <c r="C24" s="44">
        <f>C8-C15</f>
        <v>2475216</v>
      </c>
      <c r="D24" s="68">
        <f>D8-D15</f>
        <v>2137187</v>
      </c>
      <c r="E24" s="80"/>
    </row>
    <row r="25" spans="1:5" x14ac:dyDescent="0.25">
      <c r="A25" s="107" t="s">
        <v>151</v>
      </c>
      <c r="B25" s="108"/>
      <c r="C25" s="108"/>
      <c r="D25" s="109"/>
    </row>
    <row r="26" spans="1:5" s="58" customFormat="1" ht="14.25" x14ac:dyDescent="0.2">
      <c r="A26" s="66" t="s">
        <v>135</v>
      </c>
      <c r="B26" s="67" t="s">
        <v>64</v>
      </c>
      <c r="C26" s="68">
        <f>SUM(C28:C34)</f>
        <v>17021</v>
      </c>
      <c r="D26" s="68">
        <f>SUM(D28:D34)</f>
        <v>0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>
        <v>17021</v>
      </c>
      <c r="D28" s="71"/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/>
      <c r="D34" s="71"/>
    </row>
    <row r="35" spans="1:4" s="58" customFormat="1" ht="14.25" x14ac:dyDescent="0.2">
      <c r="A35" s="66" t="s">
        <v>142</v>
      </c>
      <c r="B35" s="67" t="s">
        <v>80</v>
      </c>
      <c r="C35" s="68">
        <f>SUM(C37:C43)</f>
        <v>343</v>
      </c>
      <c r="D35" s="68">
        <f>SUM(D37:D43)</f>
        <v>3445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>
        <v>343</v>
      </c>
      <c r="D37" s="71">
        <v>3445</v>
      </c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226</v>
      </c>
      <c r="B43" s="70" t="s">
        <v>167</v>
      </c>
      <c r="C43" s="71"/>
      <c r="D43" s="71"/>
    </row>
    <row r="44" spans="1:4" s="58" customFormat="1" ht="25.5" x14ac:dyDescent="0.2">
      <c r="A44" s="72" t="s">
        <v>168</v>
      </c>
      <c r="B44" s="67" t="s">
        <v>112</v>
      </c>
      <c r="C44" s="68">
        <f>C26-C35</f>
        <v>16678</v>
      </c>
      <c r="D44" s="68">
        <f>D26-D35</f>
        <v>-3445</v>
      </c>
    </row>
    <row r="45" spans="1:4" s="58" customFormat="1" ht="14.25" x14ac:dyDescent="0.2">
      <c r="A45" s="110" t="s">
        <v>169</v>
      </c>
      <c r="B45" s="111"/>
      <c r="C45" s="111"/>
      <c r="D45" s="112"/>
    </row>
    <row r="46" spans="1:4" s="58" customFormat="1" ht="14.25" x14ac:dyDescent="0.2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/>
      <c r="D51" s="71"/>
    </row>
    <row r="52" spans="1:4" s="58" customFormat="1" ht="14.25" x14ac:dyDescent="0.2">
      <c r="A52" s="66" t="s">
        <v>177</v>
      </c>
      <c r="B52" s="67" t="s">
        <v>115</v>
      </c>
      <c r="C52" s="68">
        <f>SUM(C54:C57)</f>
        <v>1499666</v>
      </c>
      <c r="D52" s="68">
        <f>SUM(D54:D57)</f>
        <v>1801482</v>
      </c>
    </row>
    <row r="53" spans="1:4" s="58" customFormat="1" ht="14.25" x14ac:dyDescent="0.2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>
        <v>440000</v>
      </c>
      <c r="D54" s="71">
        <v>440000</v>
      </c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239</v>
      </c>
      <c r="B56" s="70" t="s">
        <v>182</v>
      </c>
      <c r="C56" s="71">
        <v>1000000</v>
      </c>
      <c r="D56" s="71"/>
    </row>
    <row r="57" spans="1:4" x14ac:dyDescent="0.25">
      <c r="A57" s="69" t="s">
        <v>149</v>
      </c>
      <c r="B57" s="70" t="s">
        <v>183</v>
      </c>
      <c r="C57" s="71">
        <f>59666</f>
        <v>59666</v>
      </c>
      <c r="D57" s="71">
        <f>1261165+100317</f>
        <v>1361482</v>
      </c>
    </row>
    <row r="58" spans="1:4" s="58" customFormat="1" ht="25.5" x14ac:dyDescent="0.2">
      <c r="A58" s="72" t="s">
        <v>184</v>
      </c>
      <c r="B58" s="67" t="s">
        <v>116</v>
      </c>
      <c r="C58" s="68">
        <f>C46-C52</f>
        <v>-1499666</v>
      </c>
      <c r="D58" s="68">
        <f>D46-D52</f>
        <v>-1801482</v>
      </c>
    </row>
    <row r="59" spans="1:4" s="58" customFormat="1" ht="26.25" thickBot="1" x14ac:dyDescent="0.25">
      <c r="A59" s="18" t="s">
        <v>185</v>
      </c>
      <c r="B59" s="75"/>
      <c r="C59" s="68">
        <f>C24+C44+C58</f>
        <v>992228</v>
      </c>
      <c r="D59" s="68">
        <f>D24+D44+D58</f>
        <v>332260</v>
      </c>
    </row>
    <row r="60" spans="1:4" s="58" customFormat="1" thickBot="1" x14ac:dyDescent="0.25">
      <c r="A60" s="19" t="s">
        <v>186</v>
      </c>
      <c r="B60" s="76"/>
      <c r="C60" s="9">
        <v>1028115</v>
      </c>
      <c r="D60" s="9">
        <v>1002955</v>
      </c>
    </row>
    <row r="61" spans="1:4" ht="15.75" thickBot="1" x14ac:dyDescent="0.3">
      <c r="A61" s="8" t="s">
        <v>187</v>
      </c>
      <c r="B61" s="77"/>
      <c r="C61" s="9">
        <f>C59+C60</f>
        <v>2020343</v>
      </c>
      <c r="D61" s="9">
        <f>D59+D60</f>
        <v>1335215</v>
      </c>
    </row>
    <row r="62" spans="1:4" x14ac:dyDescent="0.25">
      <c r="A62" s="78"/>
      <c r="B62" s="79"/>
      <c r="C62" s="78"/>
      <c r="D62" s="78"/>
    </row>
    <row r="63" spans="1:4" s="58" customFormat="1" ht="16.5" customHeight="1" x14ac:dyDescent="0.2">
      <c r="A63" s="54" t="s">
        <v>222</v>
      </c>
      <c r="B63" s="59"/>
      <c r="C63" s="58" t="str">
        <f>ОСД!D27</f>
        <v>Байжанов Н.Ю.</v>
      </c>
    </row>
    <row r="64" spans="1:4" s="58" customFormat="1" ht="14.25" x14ac:dyDescent="0.2">
      <c r="A64" s="60" t="s">
        <v>96</v>
      </c>
      <c r="B64" s="59"/>
    </row>
    <row r="65" spans="1:3" s="58" customFormat="1" ht="14.25" x14ac:dyDescent="0.2">
      <c r="A65" s="58" t="s">
        <v>214</v>
      </c>
      <c r="B65" s="59"/>
      <c r="C65" s="58" t="s">
        <v>225</v>
      </c>
    </row>
    <row r="66" spans="1:3" x14ac:dyDescent="0.25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40"/>
  <sheetViews>
    <sheetView showZeros="0" tabSelected="1" zoomScale="120" zoomScaleNormal="120" zoomScaleSheetLayoutView="110" workbookViewId="0">
      <selection activeCell="A19" sqref="A19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5" t="s">
        <v>220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 x14ac:dyDescent="0.2">
      <c r="A2" s="105" t="s">
        <v>237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7" t="s">
        <v>188</v>
      </c>
      <c r="B4" s="119" t="s">
        <v>99</v>
      </c>
      <c r="C4" s="121" t="s">
        <v>189</v>
      </c>
      <c r="D4" s="122"/>
      <c r="E4" s="122"/>
      <c r="F4" s="122"/>
      <c r="G4" s="123"/>
      <c r="H4" s="119" t="s">
        <v>194</v>
      </c>
      <c r="I4" s="119" t="s">
        <v>91</v>
      </c>
    </row>
    <row r="5" spans="1:9" s="11" customFormat="1" ht="26.25" thickBot="1" x14ac:dyDescent="0.25">
      <c r="A5" s="118"/>
      <c r="B5" s="120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0"/>
      <c r="I5" s="120"/>
    </row>
    <row r="6" spans="1:9" s="17" customFormat="1" ht="13.5" thickBot="1" x14ac:dyDescent="0.25">
      <c r="A6" s="86" t="s">
        <v>231</v>
      </c>
      <c r="B6" s="87" t="s">
        <v>7</v>
      </c>
      <c r="C6" s="81">
        <v>11861000</v>
      </c>
      <c r="D6" s="81">
        <v>0</v>
      </c>
      <c r="E6" s="81">
        <v>-33446485</v>
      </c>
      <c r="F6" s="81">
        <v>7086480</v>
      </c>
      <c r="G6" s="81">
        <f>SUM(C6:F6)</f>
        <v>-14499005</v>
      </c>
      <c r="H6" s="81"/>
      <c r="I6" s="81">
        <f>SUM(G6:H6)</f>
        <v>-14499005</v>
      </c>
    </row>
    <row r="7" spans="1:9" s="11" customFormat="1" ht="13.5" thickBot="1" x14ac:dyDescent="0.25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-33446485</v>
      </c>
      <c r="F8" s="90">
        <f t="shared" si="2"/>
        <v>7086480</v>
      </c>
      <c r="G8" s="81">
        <f t="shared" si="0"/>
        <v>-14499005</v>
      </c>
      <c r="H8" s="90">
        <f t="shared" si="2"/>
        <v>0</v>
      </c>
      <c r="I8" s="90">
        <f t="shared" si="2"/>
        <v>-14499005</v>
      </c>
    </row>
    <row r="9" spans="1:9" s="11" customFormat="1" ht="13.5" hidden="1" thickBot="1" x14ac:dyDescent="0.25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6.25" thickBot="1" x14ac:dyDescent="0.25">
      <c r="A13" s="88" t="s">
        <v>238</v>
      </c>
      <c r="B13" s="89" t="s">
        <v>80</v>
      </c>
      <c r="C13" s="90"/>
      <c r="D13" s="90"/>
      <c r="E13" s="90">
        <f>ОСД!D23</f>
        <v>570497</v>
      </c>
      <c r="F13" s="90"/>
      <c r="G13" s="81">
        <f t="shared" si="0"/>
        <v>570497</v>
      </c>
      <c r="H13" s="90"/>
      <c r="I13" s="81">
        <f t="shared" si="3"/>
        <v>570497</v>
      </c>
    </row>
    <row r="14" spans="1:9" s="17" customFormat="1" ht="26.25" customHeight="1" thickBot="1" x14ac:dyDescent="0.25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570497</v>
      </c>
      <c r="F14" s="81">
        <f t="shared" si="4"/>
        <v>0</v>
      </c>
      <c r="G14" s="81">
        <f t="shared" si="0"/>
        <v>570497</v>
      </c>
      <c r="H14" s="81">
        <f t="shared" si="4"/>
        <v>0</v>
      </c>
      <c r="I14" s="81">
        <f t="shared" si="3"/>
        <v>570497</v>
      </c>
    </row>
    <row r="15" spans="1:9" s="11" customFormat="1" ht="13.5" hidden="1" thickBot="1" x14ac:dyDescent="0.25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240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-32875988</v>
      </c>
      <c r="F19" s="81">
        <f>F14-F15+F17-F18+F8+F16</f>
        <v>7086480</v>
      </c>
      <c r="G19" s="81">
        <f t="shared" si="0"/>
        <v>-13928508</v>
      </c>
      <c r="H19" s="81">
        <f t="shared" si="5"/>
        <v>0</v>
      </c>
      <c r="I19" s="81">
        <f t="shared" si="3"/>
        <v>-13928508</v>
      </c>
    </row>
    <row r="20" spans="1:9" s="17" customFormat="1" ht="13.5" thickBot="1" x14ac:dyDescent="0.25">
      <c r="A20" s="86" t="s">
        <v>232</v>
      </c>
      <c r="B20" s="87" t="s">
        <v>119</v>
      </c>
      <c r="C20" s="81">
        <v>11861000</v>
      </c>
      <c r="D20" s="81"/>
      <c r="E20" s="81">
        <v>-33728331</v>
      </c>
      <c r="F20" s="81">
        <v>7086480</v>
      </c>
      <c r="G20" s="81">
        <f>SUM(C20:F20)</f>
        <v>-14780851</v>
      </c>
      <c r="H20" s="81"/>
      <c r="I20" s="81">
        <f t="shared" si="3"/>
        <v>-14780851</v>
      </c>
    </row>
    <row r="21" spans="1:9" s="11" customFormat="1" ht="13.5" thickBot="1" x14ac:dyDescent="0.25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-33728331</v>
      </c>
      <c r="F22" s="90">
        <f t="shared" si="7"/>
        <v>7086480</v>
      </c>
      <c r="G22" s="90">
        <f t="shared" si="7"/>
        <v>-14780851</v>
      </c>
      <c r="H22" s="90">
        <f t="shared" si="7"/>
        <v>0</v>
      </c>
      <c r="I22" s="90">
        <f t="shared" si="7"/>
        <v>-14780851</v>
      </c>
    </row>
    <row r="23" spans="1:9" s="11" customFormat="1" ht="26.25" thickBot="1" x14ac:dyDescent="0.25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230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281846</v>
      </c>
      <c r="F27" s="90">
        <f t="shared" si="8"/>
        <v>0</v>
      </c>
      <c r="G27" s="90">
        <f>E27</f>
        <v>281846</v>
      </c>
      <c r="H27" s="90">
        <f t="shared" si="8"/>
        <v>0</v>
      </c>
      <c r="I27" s="90">
        <f t="shared" si="3"/>
        <v>281846</v>
      </c>
    </row>
    <row r="28" spans="1:9" s="11" customFormat="1" ht="26.25" thickBot="1" x14ac:dyDescent="0.25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-33446485</v>
      </c>
      <c r="F28" s="90">
        <f t="shared" si="9"/>
        <v>7086480</v>
      </c>
      <c r="G28" s="90">
        <f>SUM(C28:F28)</f>
        <v>-14499005</v>
      </c>
      <c r="H28" s="90">
        <f t="shared" si="9"/>
        <v>0</v>
      </c>
      <c r="I28" s="90">
        <f t="shared" si="3"/>
        <v>-14499005</v>
      </c>
    </row>
    <row r="29" spans="1:9" s="11" customFormat="1" ht="26.25" hidden="1" thickBot="1" x14ac:dyDescent="0.25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233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-33446485</v>
      </c>
      <c r="F32" s="81">
        <f t="shared" si="10"/>
        <v>7086480</v>
      </c>
      <c r="G32" s="81">
        <f t="shared" si="10"/>
        <v>-14499005</v>
      </c>
      <c r="H32" s="81">
        <f t="shared" si="10"/>
        <v>0</v>
      </c>
      <c r="I32" s="81">
        <f t="shared" si="10"/>
        <v>-14499005</v>
      </c>
    </row>
    <row r="33" spans="1:9" s="11" customFormat="1" ht="12.75" x14ac:dyDescent="0.2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222</v>
      </c>
      <c r="B35" s="59"/>
      <c r="C35" s="58" t="str">
        <f>ДДС!C63</f>
        <v>Байжанов Н.Ю.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221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214</v>
      </c>
      <c r="B37" s="59"/>
      <c r="C37" s="58" t="s">
        <v>225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221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Владелец</cp:lastModifiedBy>
  <cp:lastPrinted>2019-07-22T09:02:10Z</cp:lastPrinted>
  <dcterms:created xsi:type="dcterms:W3CDTF">2012-05-11T11:57:39Z</dcterms:created>
  <dcterms:modified xsi:type="dcterms:W3CDTF">2019-07-22T09:02:16Z</dcterms:modified>
</cp:coreProperties>
</file>