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140" windowWidth="15480" windowHeight="9390" tabRatio="838" activeTab="6"/>
  </bookViews>
  <sheets>
    <sheet name="Баланс" sheetId="1" r:id="rId1"/>
    <sheet name="опу1" sheetId="2" r:id="rId2"/>
    <sheet name="доходы-расходы" sheetId="3" state="hidden" r:id="rId3"/>
    <sheet name=" 1доходы-расходы" sheetId="4" state="hidden" r:id="rId4"/>
    <sheet name="доля меньшинства" sheetId="5" state="hidden" r:id="rId5"/>
    <sheet name="ОДДС" sheetId="6" r:id="rId6"/>
    <sheet name="СК" sheetId="7" r:id="rId7"/>
    <sheet name="Лист1" sheetId="8" r:id="rId8"/>
  </sheets>
  <externalReferences>
    <externalReference r:id="rId11"/>
  </externalReferences>
  <definedNames>
    <definedName name="_xlnm.Print_Area" localSheetId="0">'Баланс'!$A$1:$D$65</definedName>
    <definedName name="_xlnm.Print_Area" localSheetId="5">'ОДДС'!$A$1:$K$66</definedName>
    <definedName name="_xlnm.Print_Area" localSheetId="1">'опу1'!$B$1:$G$57</definedName>
    <definedName name="_xlnm.Print_Area" localSheetId="6">'СК'!$B$1:$K$72</definedName>
  </definedNames>
  <calcPr fullCalcOnLoad="1"/>
</workbook>
</file>

<file path=xl/sharedStrings.xml><?xml version="1.0" encoding="utf-8"?>
<sst xmlns="http://schemas.openxmlformats.org/spreadsheetml/2006/main" count="421" uniqueCount="328">
  <si>
    <t>Итого совокупный годовой доход</t>
  </si>
  <si>
    <t>доля Инновы</t>
  </si>
  <si>
    <t>доля меньшинства</t>
  </si>
  <si>
    <t>доля АСА</t>
  </si>
  <si>
    <t xml:space="preserve">ТОО "Innova Investment" и его дочерние компании </t>
  </si>
  <si>
    <t>Главный бухгалтер</t>
  </si>
  <si>
    <t xml:space="preserve">        в том числе:</t>
  </si>
  <si>
    <t xml:space="preserve">        Реализация услуг, товаров</t>
  </si>
  <si>
    <t xml:space="preserve">        Прочие поступления</t>
  </si>
  <si>
    <t xml:space="preserve">    2. Выбытие денежных средств, всего</t>
  </si>
  <si>
    <t xml:space="preserve">        Платежи поставщикам за товары и услуги</t>
  </si>
  <si>
    <t xml:space="preserve">            Расчёты с поставщиками за товар, сырьё и материалы</t>
  </si>
  <si>
    <t xml:space="preserve">            Телекоммуникационные услуги</t>
  </si>
  <si>
    <t xml:space="preserve">            Транспортные расходы</t>
  </si>
  <si>
    <t xml:space="preserve">            Расходы на рекламу</t>
  </si>
  <si>
    <t xml:space="preserve">            Командировочные расходы</t>
  </si>
  <si>
    <t xml:space="preserve">            Расходы по аудиту и консультационные услуги</t>
  </si>
  <si>
    <t xml:space="preserve">            Расходы на обучение</t>
  </si>
  <si>
    <t xml:space="preserve">            Услуги банка</t>
  </si>
  <si>
    <t xml:space="preserve">            Типографические услуги</t>
  </si>
  <si>
    <t xml:space="preserve">            Расходы на обслуживание программных продуктов</t>
  </si>
  <si>
    <t xml:space="preserve">            Прочие услуги</t>
  </si>
  <si>
    <t xml:space="preserve">        Авансы выданные</t>
  </si>
  <si>
    <t xml:space="preserve">        Выплаты по заработной плате</t>
  </si>
  <si>
    <t xml:space="preserve">        Налоги с заработной платы</t>
  </si>
  <si>
    <t xml:space="preserve">        Отчисления 10% НПФ</t>
  </si>
  <si>
    <t xml:space="preserve">        Другие платежи в бюджет</t>
  </si>
  <si>
    <t xml:space="preserve">        Прочие</t>
  </si>
  <si>
    <t>3. Чистая сумма денежных средств от операционной деятельности (стр.10-стр.20)</t>
  </si>
  <si>
    <t>II. Движение денежных средств от инвестиционной деятельности</t>
  </si>
  <si>
    <t xml:space="preserve">        Реализация финансовых активов</t>
  </si>
  <si>
    <t xml:space="preserve">        Приобретение основных средств</t>
  </si>
  <si>
    <t xml:space="preserve">        Приобретение финансовых активов</t>
  </si>
  <si>
    <t xml:space="preserve">        Прочие выплаты</t>
  </si>
  <si>
    <t>3. Чистая сумма денежных средств от инвестиционной деятельности (стр.40-стр.50)</t>
  </si>
  <si>
    <t>III. Движение денежных средств от финансовой деятельности</t>
  </si>
  <si>
    <t>3. Чистая сумма денежных средств от финансовой деятельности(стр.70-стр.80)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</si>
  <si>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</si>
  <si>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</si>
  <si>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</si>
  <si>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Сальдо на 30 июня отчетного года  (2010 г.)</t>
  </si>
  <si>
    <t>Сальдо на 31 декабря  2008г.</t>
  </si>
  <si>
    <t xml:space="preserve">        Обязательства по другим обязательным и добровольным платежам</t>
  </si>
  <si>
    <t xml:space="preserve">                      прошлых лет</t>
  </si>
  <si>
    <t xml:space="preserve">                                                                     (прямой метод) </t>
  </si>
  <si>
    <t xml:space="preserve">        Инвестиции, учитываемые методом долевого участия</t>
  </si>
  <si>
    <t>КОНСОЛИДИРОВАННЫЙ ОТЧЕТ О СОВОКУПНОМ ДОХОДЕ</t>
  </si>
  <si>
    <t>код стр.</t>
  </si>
  <si>
    <t>Чистая Прибыль /(Убыток)</t>
  </si>
  <si>
    <t>Прибыли,перенесенные на прибыль или убыток из совокупной прибыли при продаже инвестиций, имеющихся в наличие для продажи</t>
  </si>
  <si>
    <t>Курсовая разница от пересчета зарубежного подразделения</t>
  </si>
  <si>
    <t xml:space="preserve">эффект </t>
  </si>
  <si>
    <t>Доход от  переоценки основных средств</t>
  </si>
  <si>
    <t>Причитается доле неконтролирующих участников</t>
  </si>
  <si>
    <t>Сальдо на 31 марта  2008г.</t>
  </si>
  <si>
    <t>(в тысячах тенге)</t>
  </si>
  <si>
    <t>Статья</t>
  </si>
  <si>
    <t>На</t>
  </si>
  <si>
    <t>Активы</t>
  </si>
  <si>
    <t xml:space="preserve">    I Краткосрочные активы</t>
  </si>
  <si>
    <t xml:space="preserve">        Денежные средства и их эквиваленты</t>
  </si>
  <si>
    <t xml:space="preserve">        Краткосрочная дебиторская задолженность</t>
  </si>
  <si>
    <t xml:space="preserve">        Запасы</t>
  </si>
  <si>
    <t xml:space="preserve">        Текущие налоговые активы</t>
  </si>
  <si>
    <t xml:space="preserve">        Прочие краткосрочные активы</t>
  </si>
  <si>
    <t xml:space="preserve">    ИТОГО краткосрочных активов</t>
  </si>
  <si>
    <t xml:space="preserve">    II Долгосрочные активы</t>
  </si>
  <si>
    <t xml:space="preserve">        Долгосрочная дебиторская задолженность</t>
  </si>
  <si>
    <t xml:space="preserve">        Инвестиционная недвижимость</t>
  </si>
  <si>
    <t xml:space="preserve">        Основные средства</t>
  </si>
  <si>
    <t xml:space="preserve">        Нематериальные активы</t>
  </si>
  <si>
    <t xml:space="preserve">    ИТОГО долгосрочных активов</t>
  </si>
  <si>
    <t>БАЛАНС</t>
  </si>
  <si>
    <t xml:space="preserve">    III Краткосрочные обязательства</t>
  </si>
  <si>
    <t xml:space="preserve">        Обязательства по налогам</t>
  </si>
  <si>
    <t xml:space="preserve">        Краткосрочная кредиторская задолженность</t>
  </si>
  <si>
    <t xml:space="preserve">        Прочие краткосрочные обязательства</t>
  </si>
  <si>
    <t xml:space="preserve">        Краткосрочные оценочные обязательства</t>
  </si>
  <si>
    <t xml:space="preserve">    ИТОГО краткосрочных обязательств</t>
  </si>
  <si>
    <t xml:space="preserve">    IV Долгосрочные обязательства</t>
  </si>
  <si>
    <t xml:space="preserve">        Долгосрочная кредиторская задолженность</t>
  </si>
  <si>
    <t xml:space="preserve">        Отложенные налоговые обязательства</t>
  </si>
  <si>
    <t xml:space="preserve">    ИТОГО долгосрочных обязательств</t>
  </si>
  <si>
    <t xml:space="preserve">    V Капитал</t>
  </si>
  <si>
    <t xml:space="preserve">        Выпущенный капитал</t>
  </si>
  <si>
    <t xml:space="preserve">        Эмиссионный Доход</t>
  </si>
  <si>
    <t xml:space="preserve">    ИТОГО капитал</t>
  </si>
  <si>
    <t>Генеральный директор</t>
  </si>
  <si>
    <t>Капитал материнской организации</t>
  </si>
  <si>
    <t>Итого капитал</t>
  </si>
  <si>
    <t>Приме</t>
  </si>
  <si>
    <t>чание</t>
  </si>
  <si>
    <t>Выпущенный капитал</t>
  </si>
  <si>
    <t>Дополнительный неоплаченный капитал</t>
  </si>
  <si>
    <t>Выкупленные собственные долевые инструменты</t>
  </si>
  <si>
    <t>Эмиссион ный доход</t>
  </si>
  <si>
    <t>Нераспределенная прибыль</t>
  </si>
  <si>
    <t>Всего</t>
  </si>
  <si>
    <t>Сальдо на 1 января отчетного года 2008г.</t>
  </si>
  <si>
    <t>-</t>
  </si>
  <si>
    <t>доля</t>
  </si>
  <si>
    <t>доход</t>
  </si>
  <si>
    <t>сумма</t>
  </si>
  <si>
    <t>Изменения в учетной политике и корректировки ошибок прошлых  периодов</t>
  </si>
  <si>
    <t>Иннова Капитал Партнерс</t>
  </si>
  <si>
    <t xml:space="preserve">Пересчитанное сальдо </t>
  </si>
  <si>
    <t>Иннова</t>
  </si>
  <si>
    <t xml:space="preserve">Переоценка ОС </t>
  </si>
  <si>
    <t>Прибыль/убыток за период</t>
  </si>
  <si>
    <t xml:space="preserve">Всего прибыль/убыток за период </t>
  </si>
  <si>
    <t>Дивиденды, начисленные за счет прибыли текущего года</t>
  </si>
  <si>
    <t>Доля меньшинства при покупки в УК и создания,увеличении УК</t>
  </si>
  <si>
    <t>Эмиссионный доход</t>
  </si>
  <si>
    <t>Изменения в учетной политике</t>
  </si>
  <si>
    <t>Прибыль/убыток от переоценки активов</t>
  </si>
  <si>
    <t>Чистая прибыль/убыток за период</t>
  </si>
  <si>
    <t xml:space="preserve">Прибыль/убыток, признанная/ый непосредственно в самом капитале </t>
  </si>
  <si>
    <t>доля меньшинства при покупке в УК и создания, увеличении УК, оплате УК долей меньшинства</t>
  </si>
  <si>
    <t>Ким Л.В.</t>
  </si>
  <si>
    <t>Леготкина С.В.</t>
  </si>
  <si>
    <t xml:space="preserve">        Гудвилл</t>
  </si>
  <si>
    <t>Макта</t>
  </si>
  <si>
    <t xml:space="preserve">ОТЧЕТ О ФИНАНСОВОМ ПОЛОЖЕНИИ ПО СОСТОЯНИЮ </t>
  </si>
  <si>
    <t xml:space="preserve">                      отчетного года</t>
  </si>
  <si>
    <t>Выплаченные дивиденты</t>
  </si>
  <si>
    <t>Типовой</t>
  </si>
  <si>
    <t xml:space="preserve">ТОО Innova , Innova Capital Partnerce, АО " Акционерный Инвестиционный Фонд Недвижимости "Великая Стена", Иннова Консолидация, Макта Инвест ТОО, </t>
  </si>
  <si>
    <t>Корректировка</t>
  </si>
  <si>
    <t>2007г.</t>
  </si>
  <si>
    <t>2006г.</t>
  </si>
  <si>
    <t>Выводимые данные: сумма</t>
  </si>
  <si>
    <t>Кор.счет</t>
  </si>
  <si>
    <t>С кред. счетов</t>
  </si>
  <si>
    <t>В дебет счетов</t>
  </si>
  <si>
    <t>Нач.сальдо</t>
  </si>
  <si>
    <t>Период: 2008 г.</t>
  </si>
  <si>
    <t>Оборот</t>
  </si>
  <si>
    <t>Кон.сальдо</t>
  </si>
  <si>
    <t>Консолидированный отчет об изменениях в капитале</t>
  </si>
  <si>
    <t>Леготкина С.В</t>
  </si>
  <si>
    <t>Сверка с балансом</t>
  </si>
  <si>
    <t>Анализ счета 1290</t>
  </si>
  <si>
    <t xml:space="preserve"> Консолидированный  Отчет о движении денежных средств</t>
  </si>
  <si>
    <t>примечание</t>
  </si>
  <si>
    <t xml:space="preserve">        Инвестиции, проданные по соглашению  Обратного Репо</t>
  </si>
  <si>
    <t>I. Движение денежных средств от операционной деятельности</t>
  </si>
  <si>
    <t xml:space="preserve">    1. Поступление денежных средств, всего</t>
  </si>
  <si>
    <t xml:space="preserve">Начисленные дивиденты </t>
  </si>
  <si>
    <t xml:space="preserve">        Отложенные налоговые активы</t>
  </si>
  <si>
    <t>Сальдо на 30 июня 2009г.</t>
  </si>
  <si>
    <t>Наименование показателей</t>
  </si>
  <si>
    <t>Себестоимость реализованной продукции(услуг) в т.ч</t>
  </si>
  <si>
    <t>Валовая прибыль</t>
  </si>
  <si>
    <t>Доход в виде компенсации за коммунальные услуги</t>
  </si>
  <si>
    <t>Прочие доходы</t>
  </si>
  <si>
    <t>Расходы от прочей  реализации</t>
  </si>
  <si>
    <t>Административные расходы</t>
  </si>
  <si>
    <t>Расходы на финансирование</t>
  </si>
  <si>
    <t>Прочие расходы</t>
  </si>
  <si>
    <t>Прибыль(убыток) за период от продолжаемой деятельности</t>
  </si>
  <si>
    <t>Прибыль(убыток) от налогообложения</t>
  </si>
  <si>
    <t>Расходы по корпоративному подоходному налогу</t>
  </si>
  <si>
    <t>Итоговая прибыль(убыток) за период до вычета доли меньшинства</t>
  </si>
  <si>
    <t>Итоговая прибыль(убыток) за период</t>
  </si>
  <si>
    <t>Доходы в виде вознаграждений и доходы по дивидендам</t>
  </si>
  <si>
    <t>Примечание</t>
  </si>
  <si>
    <t>Доля неконтролирующих участников</t>
  </si>
  <si>
    <t xml:space="preserve">        Долгосрочные финансовые обязательства</t>
  </si>
  <si>
    <t>Прочий совокупный доход за период</t>
  </si>
  <si>
    <t xml:space="preserve">        Краткосрочные финансовые обязательства</t>
  </si>
  <si>
    <t>за 3 мес. 2011 г.</t>
  </si>
  <si>
    <t xml:space="preserve">        Выплата вознаграждения по займам</t>
  </si>
  <si>
    <t xml:space="preserve">        Погашение займов</t>
  </si>
  <si>
    <t xml:space="preserve">        Прочие долгосрочные активы</t>
  </si>
  <si>
    <t>Дивиденды, начисленные за счет прибыли</t>
  </si>
  <si>
    <t>за 2 квартал 2011 г.</t>
  </si>
  <si>
    <t>Итого доходов от операционной деятельности</t>
  </si>
  <si>
    <t>Итого расходов от операционной деятельности</t>
  </si>
  <si>
    <t>Чистый убыток/(доход) от операций с иностранной валютой</t>
  </si>
  <si>
    <t>Доход от  оказания услуг</t>
  </si>
  <si>
    <t>Причитается участникам ТОО "Innova Investment"</t>
  </si>
  <si>
    <t xml:space="preserve">        Долгосрочные обязательства по облигационным займам</t>
  </si>
  <si>
    <t xml:space="preserve">        Прочие долгосрочные обязательства</t>
  </si>
  <si>
    <t>Изменение доли участия в дочерних компаниях</t>
  </si>
  <si>
    <t>Перенос на нераспределенную прибыль в связи с выбытием основных средств</t>
  </si>
  <si>
    <t xml:space="preserve">        Нераспределенный доход (непокрытый убыток) </t>
  </si>
  <si>
    <t xml:space="preserve">        Выкупленные долевые инструменты дочерней организации</t>
  </si>
  <si>
    <t xml:space="preserve">        Выплата дивидендов</t>
  </si>
  <si>
    <t xml:space="preserve">        Текущая часть облигационного займа</t>
  </si>
  <si>
    <t>Дивиденды</t>
  </si>
  <si>
    <t>Прочие</t>
  </si>
  <si>
    <t xml:space="preserve">ТОО "Innova Investment" </t>
  </si>
  <si>
    <t>Комиссионный доход</t>
  </si>
  <si>
    <t>9 мес 2011</t>
  </si>
  <si>
    <t xml:space="preserve">тыс.тенге  </t>
  </si>
  <si>
    <t>Комиссия от инвеcтиционного дохода по пенсионным активам</t>
  </si>
  <si>
    <t>Комиссия от пенсионных активов</t>
  </si>
  <si>
    <t>Финансовый услуги</t>
  </si>
  <si>
    <t>Брокерские услуги</t>
  </si>
  <si>
    <t>Комиссионные вознаграждения от инвестиционного управления ПА и ДУА и ПИФ</t>
  </si>
  <si>
    <t>Услуги по андеррайтингу ценных бумаг</t>
  </si>
  <si>
    <t>Услуги маркет мейкера</t>
  </si>
  <si>
    <t>Выручка от реализации товаров и услуг</t>
  </si>
  <si>
    <t>2007 г.</t>
  </si>
  <si>
    <t>2006 г.</t>
  </si>
  <si>
    <t xml:space="preserve"> Доход от реализации соков сокосодержащих наптков</t>
  </si>
  <si>
    <t xml:space="preserve"> Доход от реализации газированных безалкогольных напитков </t>
  </si>
  <si>
    <t xml:space="preserve"> Доход от реализации пакетированного чая </t>
  </si>
  <si>
    <t xml:space="preserve"> Доход от реализации товаров для перепродажи</t>
  </si>
  <si>
    <t xml:space="preserve"> Доход от реализации чипсов</t>
  </si>
  <si>
    <t xml:space="preserve"> Доход от реализации пакетированного молока</t>
  </si>
  <si>
    <t>Доход от реализации товаров для перепродажи</t>
  </si>
  <si>
    <t>Доход от реализации услуг</t>
  </si>
  <si>
    <t xml:space="preserve"> </t>
  </si>
  <si>
    <t>Доходы в виде вознаграждений и доходы от дивидендов</t>
  </si>
  <si>
    <t>Ценные бумаги, имеющиеся в наличии для продажи, дивиденды</t>
  </si>
  <si>
    <t>Вознаграждения по операциям РЕПО</t>
  </si>
  <si>
    <t>Чистый доход от ценных бумаг, имеющихся в наличии для продажи</t>
  </si>
  <si>
    <t>Доход от выбытия инвестиций, имеющихся в наличии для продажи</t>
  </si>
  <si>
    <t>Реализованные доходы от переоценки инвестиций для торговли</t>
  </si>
  <si>
    <t>Нереализованные доходы от переоценки инвестиций для торговли</t>
  </si>
  <si>
    <t>Реализованные раходы от переоценки для торговли</t>
  </si>
  <si>
    <t>Нереализованные раходы от переоценки для торговли</t>
  </si>
  <si>
    <t>Расходы от выбытия инвестиций, имеющихся в наличии для продажи</t>
  </si>
  <si>
    <t>Чистый реализованный доход от переоценки ценных бумаг, имеющихся в наличии для продажи</t>
  </si>
  <si>
    <t>Проценты по займам, предоставленным связанной стороне</t>
  </si>
  <si>
    <t>Себестоимость реализации</t>
  </si>
  <si>
    <t xml:space="preserve">Материалы </t>
  </si>
  <si>
    <t xml:space="preserve">Себестоимость товаров, приобретенных для перепродажи </t>
  </si>
  <si>
    <t xml:space="preserve">Износ и амортизация </t>
  </si>
  <si>
    <t>Зарплата и соответствующие налоги</t>
  </si>
  <si>
    <t>Коммунальные расходы</t>
  </si>
  <si>
    <t xml:space="preserve">Ремонт </t>
  </si>
  <si>
    <t xml:space="preserve">Прочие затраты </t>
  </si>
  <si>
    <t xml:space="preserve">Рекламные компании и маркетинговые исследования </t>
  </si>
  <si>
    <t xml:space="preserve">Транспортные расходы </t>
  </si>
  <si>
    <t>Зарплата и соответствующие платежи</t>
  </si>
  <si>
    <t>Расходы на рекламу и рекламные материалы</t>
  </si>
  <si>
    <t xml:space="preserve">Расходы по торговым агентам </t>
  </si>
  <si>
    <t xml:space="preserve">Аренда транспортных средств, складов и офисных помещений </t>
  </si>
  <si>
    <t xml:space="preserve">Амортизация маркетингового оборудования </t>
  </si>
  <si>
    <t>Списание материалов</t>
  </si>
  <si>
    <t>Налоги, кроме подоходного налога</t>
  </si>
  <si>
    <t xml:space="preserve">Командировочные расходы </t>
  </si>
  <si>
    <t xml:space="preserve">Возмещение расходов по реализации </t>
  </si>
  <si>
    <t xml:space="preserve">Амортизация доходов будущих периодов </t>
  </si>
  <si>
    <t xml:space="preserve">Прочие расходы по реализации </t>
  </si>
  <si>
    <t>ОБЩИЕ И АДМИНИСТРАТИВНЫЕ РАСХОДЫ</t>
  </si>
  <si>
    <t>Заработная плата и соответствующие налоги</t>
  </si>
  <si>
    <t xml:space="preserve">Списание бракованных товаров </t>
  </si>
  <si>
    <t>Консалтинговые услуги</t>
  </si>
  <si>
    <t xml:space="preserve">Начисление/(расход) по резерву по сомнительным долгам </t>
  </si>
  <si>
    <t xml:space="preserve">Банковские услуги </t>
  </si>
  <si>
    <t>Аммортизация</t>
  </si>
  <si>
    <t xml:space="preserve">Пени и штрафы. </t>
  </si>
  <si>
    <t>Ремонт</t>
  </si>
  <si>
    <t>Услуги охранных агентств</t>
  </si>
  <si>
    <t xml:space="preserve">Резерв по устаревшим запасам </t>
  </si>
  <si>
    <t xml:space="preserve">Обучение  </t>
  </si>
  <si>
    <t>Услуги связи</t>
  </si>
  <si>
    <t xml:space="preserve">Страхование </t>
  </si>
  <si>
    <t>Коммунальные услуги</t>
  </si>
  <si>
    <t>(Восстановление)Резерв под обесценение выплаченных авансов и  дебиторской задолженности</t>
  </si>
  <si>
    <t>Информационные услуги</t>
  </si>
  <si>
    <t>Профессиональные услуги и кастодиальное обслуживание</t>
  </si>
  <si>
    <t>Комиссия КФБ (Казахстанская Фондовая Биржа)</t>
  </si>
  <si>
    <t>Почтовые услуги, публикация</t>
  </si>
  <si>
    <t>Услуги по присвоению  рейтингов, членские взносы ККБ</t>
  </si>
  <si>
    <t>Расходы по операционной аренде</t>
  </si>
  <si>
    <t>Хозяйственные расходы</t>
  </si>
  <si>
    <t>Юридические услуги</t>
  </si>
  <si>
    <t>Командировочные расходы</t>
  </si>
  <si>
    <t xml:space="preserve">Расходы в виде вознаграждения </t>
  </si>
  <si>
    <t>Проценты по банковским и прочим займам</t>
  </si>
  <si>
    <t>Проценты, начисленные по облигациям</t>
  </si>
  <si>
    <t>Проценты , начисленные по обязательствам по финансовой аренде</t>
  </si>
  <si>
    <t>Договоры обратного РЕПО</t>
  </si>
  <si>
    <t>Прочие доходы (убытки)</t>
  </si>
  <si>
    <t>Убыток от выбытия основных средств</t>
  </si>
  <si>
    <t>Доход(расход) по списанию кредиторской (дебиторской) задолженностей</t>
  </si>
  <si>
    <t>Доходы/(расходы) по проданным материалам и услугам, нетто</t>
  </si>
  <si>
    <t>Прочие доходы/(расходы), нетто</t>
  </si>
  <si>
    <t>Доходы (расходы) от переоценки инвестиционной недвижимости</t>
  </si>
  <si>
    <t>Доходы/(расходы) по дисконтированию задолженности, нетто</t>
  </si>
  <si>
    <t>Возмещение расходов по услугам обслуживания</t>
  </si>
  <si>
    <t>Доходы по дисконтированию дебиторской задолженности</t>
  </si>
  <si>
    <t>итого</t>
  </si>
  <si>
    <t>Расходы по коммунальным услугам</t>
  </si>
  <si>
    <t>Расходы по ремонту для перевыставления</t>
  </si>
  <si>
    <t>Расходы по обслуживанию зданий</t>
  </si>
  <si>
    <t>Расходыпо амортизации дисконта по ценным бумагам, выпущенным в обращение</t>
  </si>
  <si>
    <t>Штрафы</t>
  </si>
  <si>
    <t>за период, закончившийся 30 сентября 2013 г.</t>
  </si>
  <si>
    <t>9 мес 2013 г.</t>
  </si>
  <si>
    <t>9 мес  2012 г.</t>
  </si>
  <si>
    <t>Доходы/расходы по переоценке инвестиционной недвижимости</t>
  </si>
  <si>
    <t xml:space="preserve">Прочий совокупный (убыток)/прибыль </t>
  </si>
  <si>
    <t>Итого совокупная прибыль/(убыток)</t>
  </si>
  <si>
    <t xml:space="preserve">        Реализация инвестиционной недвижимости</t>
  </si>
  <si>
    <t>Расходы от выбытия инвестиционной недвижимости</t>
  </si>
  <si>
    <t>Доходы от выбытия инвестиционной недвижимости</t>
  </si>
  <si>
    <t>прибыль ВС за  3 мес 2014 г (тыс. тенге)</t>
  </si>
  <si>
    <t>Сальдо на 31 декабря 2013 г.</t>
  </si>
  <si>
    <t>И.О. Генерального директора</t>
  </si>
  <si>
    <t>Абдрахимов Д.Т.</t>
  </si>
  <si>
    <t>И.О.Генерального директора</t>
  </si>
  <si>
    <t>6 мес 2014</t>
  </si>
  <si>
    <t xml:space="preserve">        Финансовые активы, оцениваемые по справедливой стоимости          через прибыль или убыток</t>
  </si>
  <si>
    <t xml:space="preserve">        Резерв переоценки</t>
  </si>
  <si>
    <t xml:space="preserve">      Доля неконтролирующих участников</t>
  </si>
  <si>
    <t>Обязательства и капитал</t>
  </si>
  <si>
    <t>Доход от выбытия  финансовых активов, оцениваемых по справедливой стоимости через прибыль или убыток</t>
  </si>
  <si>
    <t>Расходы от выбытия  финансовых активов, оцениваемых по справедливой стоимости через прибыль или убыток</t>
  </si>
  <si>
    <t>НА 31 МАРТА  2015 ГОДА</t>
  </si>
  <si>
    <t>Консолидированная финансовая отчетность на 31 марта 2015 года</t>
  </si>
  <si>
    <t>31.03.2015 г.</t>
  </si>
  <si>
    <t xml:space="preserve">        Финансовые активы имеющиеся в наличии для продажи</t>
  </si>
  <si>
    <t>3 месяца 2015 года</t>
  </si>
  <si>
    <t>3 месяца 2014 года</t>
  </si>
  <si>
    <t>за период, закончившийся 31 марта 2015 г.</t>
  </si>
  <si>
    <t>Сальдо на 31 декабря 2014 г.</t>
  </si>
  <si>
    <t>Сальдо на 31 марта отчетного года  (2015 г.)</t>
  </si>
  <si>
    <t>Сальдо на 31 марта 2014 г.</t>
  </si>
  <si>
    <t>31.12.2014 г.</t>
  </si>
  <si>
    <r>
      <t xml:space="preserve">ОТЧЕТ О СОВОКУПНОМ ГОДОВОМ ДОХОДЕ  ЗА  3 МЕСЯЦА 2015 ГОДА                                                               </t>
    </r>
    <r>
      <rPr>
        <sz val="10"/>
        <rFont val="Times New Roman"/>
        <family val="1"/>
      </rPr>
      <t xml:space="preserve"> </t>
    </r>
  </si>
  <si>
    <t>3 месяца  2015 года</t>
  </si>
  <si>
    <t>3 месяца  2014 года</t>
  </si>
  <si>
    <t xml:space="preserve">                                                      за период, закончившийся 31 марта  2015 г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</si>
</sst>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#,##0_р_."/>
    <numFmt numFmtId="175" formatCode="#,##0.00;[Red]\-#,##0.00"/>
    <numFmt numFmtId="176" formatCode="_(* #,##0_);_(* \(#,##0\);_(* &quot;-&quot;??_);_(@_)"/>
    <numFmt numFmtId="177" formatCode="#,##0.0"/>
    <numFmt numFmtId="178" formatCode="0.00;[Red]\-0.00"/>
    <numFmt numFmtId="179" formatCode="0.0000"/>
    <numFmt numFmtId="180" formatCode="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;[Red]\-#,##0"/>
    <numFmt numFmtId="189" formatCode="#,##0.000;[Red]\-#,##0.000"/>
    <numFmt numFmtId="190" formatCode="#,##0.00_ ;[Red]\-#,##0.00\ "/>
    <numFmt numFmtId="191" formatCode="#,##0_ ;[Red]\-#,##0\ "/>
    <numFmt numFmtId="192" formatCode="* #,##0_);* \(#,##0\);&quot;-&quot;??_);@"/>
    <numFmt numFmtId="193" formatCode="0.000;[Red]\-0.000"/>
    <numFmt numFmtId="194" formatCode="_-* #,##0.00\ _₽_-;\-* #,##0.00\ _₽_-;_-* &quot;-&quot;??\ _₽_-;_-@_-"/>
    <numFmt numFmtId="195" formatCode="_-* #,##0\ _р_._-;\-* #,##0\ _р_._-;_-* &quot;-&quot;??\ _р_._-;_-@_-"/>
    <numFmt numFmtId="196" formatCode="_-* #,##0\ _₽_-;\-* #,##0\ _₽_-;_-* &quot;-&quot;??\ _₽_-;_-@_-"/>
    <numFmt numFmtId="197" formatCode="_(* #,##0_);_(* \(#,##0\);_(* &quot;-&quot;??_);_(@_)\ "/>
    <numFmt numFmtId="198" formatCode="_-* #,##0.0000\ _₽_-;\-* #,##0.0000\ _₽_-;_-* &quot;-&quot;??\ _₽_-;_-@_-"/>
    <numFmt numFmtId="199" formatCode="_(* #,##0.00_);_(* \(#,##0.00\);_(* &quot;-&quot;_);_(@_)"/>
    <numFmt numFmtId="200" formatCode="0.000%"/>
    <numFmt numFmtId="201" formatCode="0.0000%"/>
    <numFmt numFmtId="202" formatCode="0.0000000"/>
    <numFmt numFmtId="203" formatCode="_-* #,##0.000\ _₽_-;\-* #,##0.000\ _₽_-;_-* &quot;-&quot;???\ _₽_-;_-@_-"/>
  </numFmts>
  <fonts count="87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Helv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Bookman Old Style"/>
      <family val="1"/>
    </font>
    <font>
      <b/>
      <sz val="10"/>
      <color indexed="9"/>
      <name val="Arial Cyr"/>
      <family val="0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"/>
      <family val="2"/>
    </font>
    <font>
      <b/>
      <sz val="8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1"/>
      <name val="Times New Roman"/>
      <family val="1"/>
    </font>
    <font>
      <b/>
      <sz val="10"/>
      <name val="Helv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0" borderId="0">
      <alignment/>
      <protection/>
    </xf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73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0" fontId="17" fillId="32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32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3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NumberFormat="1" applyFont="1" applyAlignment="1">
      <alignment horizontal="right"/>
    </xf>
    <xf numFmtId="0" fontId="18" fillId="32" borderId="0" xfId="0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3" fontId="25" fillId="32" borderId="0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left"/>
    </xf>
    <xf numFmtId="3" fontId="1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32" borderId="0" xfId="0" applyFont="1" applyFill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174" fontId="1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64">
      <alignment/>
      <protection/>
    </xf>
    <xf numFmtId="0" fontId="40" fillId="0" borderId="0" xfId="64" applyNumberFormat="1" applyFont="1">
      <alignment/>
      <protection/>
    </xf>
    <xf numFmtId="0" fontId="41" fillId="0" borderId="0" xfId="64" applyNumberFormat="1" applyFont="1" applyAlignment="1">
      <alignment horizontal="center" wrapText="1"/>
      <protection/>
    </xf>
    <xf numFmtId="44" fontId="40" fillId="0" borderId="0" xfId="45" applyFont="1" applyAlignment="1">
      <alignment horizontal="center" wrapText="1"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2" fillId="0" borderId="0" xfId="64" applyNumberFormat="1" applyFont="1" applyAlignment="1">
      <alignment horizontal="right"/>
      <protection/>
    </xf>
    <xf numFmtId="0" fontId="2" fillId="0" borderId="0" xfId="64" applyFont="1">
      <alignment/>
      <protection/>
    </xf>
    <xf numFmtId="3" fontId="1" fillId="0" borderId="0" xfId="64" applyNumberFormat="1" applyFont="1" applyAlignment="1">
      <alignment horizontal="right"/>
      <protection/>
    </xf>
    <xf numFmtId="3" fontId="2" fillId="0" borderId="0" xfId="64" applyNumberFormat="1" applyFont="1" applyAlignment="1">
      <alignment horizontal="right"/>
      <protection/>
    </xf>
    <xf numFmtId="3" fontId="2" fillId="0" borderId="0" xfId="64" applyNumberFormat="1" applyFont="1">
      <alignment/>
      <protection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76" fontId="2" fillId="0" borderId="0" xfId="64" applyNumberFormat="1" applyFont="1">
      <alignment/>
      <protection/>
    </xf>
    <xf numFmtId="1" fontId="1" fillId="0" borderId="0" xfId="64" applyNumberFormat="1" applyFont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3" fontId="1" fillId="0" borderId="0" xfId="64" applyNumberFormat="1" applyFont="1" applyFill="1" applyAlignment="1">
      <alignment horizontal="right"/>
      <protection/>
    </xf>
    <xf numFmtId="0" fontId="2" fillId="0" borderId="0" xfId="64" applyNumberFormat="1" applyFont="1" applyFill="1" applyAlignment="1">
      <alignment horizontal="right"/>
      <protection/>
    </xf>
    <xf numFmtId="174" fontId="2" fillId="0" borderId="0" xfId="64" applyNumberFormat="1" applyFont="1" applyFill="1" applyAlignment="1">
      <alignment horizontal="right"/>
      <protection/>
    </xf>
    <xf numFmtId="3" fontId="24" fillId="0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176" fontId="12" fillId="32" borderId="0" xfId="73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41" fontId="19" fillId="0" borderId="0" xfId="0" applyNumberFormat="1" applyFont="1" applyFill="1" applyBorder="1" applyAlignment="1">
      <alignment horizontal="center" wrapText="1"/>
    </xf>
    <xf numFmtId="0" fontId="39" fillId="32" borderId="0" xfId="0" applyNumberFormat="1" applyFont="1" applyFill="1" applyBorder="1" applyAlignment="1" applyProtection="1">
      <alignment/>
      <protection/>
    </xf>
    <xf numFmtId="0" fontId="12" fillId="32" borderId="0" xfId="0" applyNumberFormat="1" applyFont="1" applyFill="1" applyBorder="1" applyAlignment="1" applyProtection="1">
      <alignment/>
      <protection/>
    </xf>
    <xf numFmtId="0" fontId="12" fillId="32" borderId="0" xfId="0" applyNumberFormat="1" applyFont="1" applyFill="1" applyBorder="1" applyAlignment="1" applyProtection="1">
      <alignment wrapText="1"/>
      <protection/>
    </xf>
    <xf numFmtId="0" fontId="39" fillId="32" borderId="0" xfId="0" applyNumberFormat="1" applyFont="1" applyFill="1" applyBorder="1" applyAlignment="1" applyProtection="1">
      <alignment wrapText="1"/>
      <protection/>
    </xf>
    <xf numFmtId="176" fontId="39" fillId="32" borderId="0" xfId="73" applyNumberFormat="1" applyFont="1" applyFill="1" applyBorder="1" applyAlignment="1" applyProtection="1">
      <alignment horizontal="center" wrapText="1"/>
      <protection/>
    </xf>
    <xf numFmtId="176" fontId="12" fillId="0" borderId="0" xfId="73" applyNumberFormat="1" applyFont="1" applyFill="1" applyBorder="1" applyAlignment="1" applyProtection="1">
      <alignment horizontal="center" wrapText="1"/>
      <protection/>
    </xf>
    <xf numFmtId="3" fontId="2" fillId="0" borderId="0" xfId="64" applyNumberFormat="1" applyFont="1" applyFill="1" applyAlignment="1">
      <alignment horizontal="right"/>
      <protection/>
    </xf>
    <xf numFmtId="10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176" fontId="10" fillId="0" borderId="0" xfId="0" applyNumberFormat="1" applyFont="1" applyFill="1" applyBorder="1" applyAlignment="1">
      <alignment horizontal="center"/>
    </xf>
    <xf numFmtId="172" fontId="9" fillId="0" borderId="0" xfId="73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172" fontId="8" fillId="0" borderId="0" xfId="73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/>
    </xf>
    <xf numFmtId="0" fontId="13" fillId="32" borderId="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187" fontId="10" fillId="0" borderId="0" xfId="0" applyNumberFormat="1" applyFont="1" applyFill="1" applyAlignment="1">
      <alignment horizontal="right"/>
    </xf>
    <xf numFmtId="0" fontId="32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2" fillId="0" borderId="0" xfId="64" applyFont="1">
      <alignment/>
      <protection/>
    </xf>
    <xf numFmtId="0" fontId="1" fillId="0" borderId="0" xfId="64" applyFont="1" applyAlignment="1">
      <alignment wrapText="1"/>
      <protection/>
    </xf>
    <xf numFmtId="3" fontId="2" fillId="0" borderId="0" xfId="64" applyNumberFormat="1" applyFont="1" applyAlignment="1">
      <alignment horizontal="right"/>
      <protection/>
    </xf>
    <xf numFmtId="0" fontId="10" fillId="0" borderId="0" xfId="0" applyFont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176" fontId="0" fillId="32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0" fontId="22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172" fontId="10" fillId="0" borderId="0" xfId="73" applyNumberFormat="1" applyFont="1" applyFill="1" applyAlignment="1">
      <alignment wrapText="1"/>
    </xf>
    <xf numFmtId="172" fontId="19" fillId="0" borderId="14" xfId="73" applyNumberFormat="1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172" fontId="19" fillId="0" borderId="0" xfId="73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vertical="top" wrapText="1"/>
    </xf>
    <xf numFmtId="172" fontId="10" fillId="0" borderId="0" xfId="73" applyNumberFormat="1" applyFont="1" applyFill="1" applyAlignment="1">
      <alignment horizontal="right" wrapText="1"/>
    </xf>
    <xf numFmtId="172" fontId="10" fillId="0" borderId="0" xfId="73" applyNumberFormat="1" applyFont="1" applyFill="1" applyAlignment="1">
      <alignment horizontal="right" vertical="top" wrapText="1"/>
    </xf>
    <xf numFmtId="0" fontId="10" fillId="0" borderId="0" xfId="34" applyFont="1" applyFill="1" applyBorder="1" applyAlignment="1" applyProtection="1">
      <alignment horizontal="left" indent="1"/>
      <protection/>
    </xf>
    <xf numFmtId="172" fontId="3" fillId="0" borderId="0" xfId="0" applyNumberFormat="1" applyFont="1" applyFill="1" applyAlignment="1">
      <alignment/>
    </xf>
    <xf numFmtId="172" fontId="10" fillId="0" borderId="0" xfId="73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justify" vertical="top" wrapText="1"/>
    </xf>
    <xf numFmtId="0" fontId="19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2" fontId="10" fillId="0" borderId="0" xfId="73" applyNumberFormat="1" applyFont="1" applyFill="1" applyBorder="1" applyAlignment="1">
      <alignment horizontal="center" vertical="top" wrapText="1"/>
    </xf>
    <xf numFmtId="172" fontId="10" fillId="0" borderId="0" xfId="73" applyNumberFormat="1" applyFont="1" applyFill="1" applyAlignment="1">
      <alignment horizontal="center" vertical="top" wrapText="1"/>
    </xf>
    <xf numFmtId="172" fontId="10" fillId="0" borderId="14" xfId="73" applyNumberFormat="1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28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left" vertical="top" wrapText="1" indent="2"/>
    </xf>
    <xf numFmtId="0" fontId="49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justify" vertical="top"/>
    </xf>
    <xf numFmtId="3" fontId="10" fillId="0" borderId="15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 horizontal="left" vertical="top" wrapText="1" indent="2"/>
    </xf>
    <xf numFmtId="0" fontId="19" fillId="0" borderId="0" xfId="0" applyFont="1" applyFill="1" applyAlignment="1">
      <alignment vertical="top" wrapText="1"/>
    </xf>
    <xf numFmtId="172" fontId="10" fillId="33" borderId="0" xfId="73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/>
    </xf>
    <xf numFmtId="172" fontId="10" fillId="0" borderId="0" xfId="0" applyNumberFormat="1" applyFont="1" applyFill="1" applyAlignment="1">
      <alignment wrapText="1"/>
    </xf>
    <xf numFmtId="0" fontId="49" fillId="0" borderId="0" xfId="0" applyFont="1" applyFill="1" applyAlignment="1">
      <alignment horizontal="center" vertical="top" wrapText="1"/>
    </xf>
    <xf numFmtId="172" fontId="50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72" fontId="19" fillId="0" borderId="0" xfId="0" applyNumberFormat="1" applyFont="1" applyFill="1" applyAlignment="1">
      <alignment wrapText="1"/>
    </xf>
    <xf numFmtId="0" fontId="1" fillId="0" borderId="0" xfId="64" applyFont="1" applyFill="1">
      <alignment/>
      <protection/>
    </xf>
    <xf numFmtId="1" fontId="1" fillId="0" borderId="0" xfId="64" applyNumberFormat="1" applyFont="1" applyFill="1" applyAlignment="1">
      <alignment horizontal="center"/>
      <protection/>
    </xf>
    <xf numFmtId="0" fontId="1" fillId="0" borderId="0" xfId="64" applyFont="1" applyFill="1" applyAlignment="1">
      <alignment wrapText="1"/>
      <protection/>
    </xf>
    <xf numFmtId="172" fontId="46" fillId="0" borderId="0" xfId="0" applyNumberFormat="1" applyFont="1" applyFill="1" applyAlignment="1">
      <alignment/>
    </xf>
    <xf numFmtId="172" fontId="10" fillId="34" borderId="0" xfId="73" applyNumberFormat="1" applyFont="1" applyFill="1" applyAlignment="1">
      <alignment wrapText="1"/>
    </xf>
    <xf numFmtId="0" fontId="2" fillId="0" borderId="0" xfId="63" applyNumberFormat="1" applyFont="1" applyBorder="1" applyAlignment="1">
      <alignment horizontal="right"/>
      <protection/>
    </xf>
    <xf numFmtId="177" fontId="2" fillId="32" borderId="0" xfId="63" applyNumberFormat="1" applyFont="1" applyFill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76" fontId="10" fillId="0" borderId="0" xfId="0" applyNumberFormat="1" applyFont="1" applyAlignment="1">
      <alignment horizontal="left"/>
    </xf>
    <xf numFmtId="0" fontId="31" fillId="0" borderId="0" xfId="0" applyFont="1" applyBorder="1" applyAlignment="1">
      <alignment horizontal="left"/>
    </xf>
    <xf numFmtId="0" fontId="28" fillId="0" borderId="0" xfId="0" applyNumberFormat="1" applyFont="1" applyAlignment="1">
      <alignment horizontal="left" wrapText="1"/>
    </xf>
    <xf numFmtId="172" fontId="29" fillId="0" borderId="10" xfId="85" applyNumberFormat="1" applyFont="1" applyFill="1" applyBorder="1" applyAlignment="1">
      <alignment horizontal="center" wrapText="1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6" fillId="0" borderId="22" xfId="0" applyNumberFormat="1" applyFont="1" applyBorder="1" applyAlignment="1">
      <alignment horizontal="left" vertical="top"/>
    </xf>
    <xf numFmtId="0" fontId="26" fillId="0" borderId="23" xfId="0" applyNumberFormat="1" applyFont="1" applyBorder="1" applyAlignment="1">
      <alignment horizontal="left" vertical="top" wrapText="1"/>
    </xf>
    <xf numFmtId="0" fontId="28" fillId="0" borderId="23" xfId="0" applyNumberFormat="1" applyFont="1" applyBorder="1" applyAlignment="1">
      <alignment horizontal="right" vertical="top"/>
    </xf>
    <xf numFmtId="175" fontId="28" fillId="0" borderId="23" xfId="0" applyNumberFormat="1" applyFont="1" applyBorder="1" applyAlignment="1">
      <alignment horizontal="right" vertical="top"/>
    </xf>
    <xf numFmtId="0" fontId="26" fillId="0" borderId="24" xfId="0" applyNumberFormat="1" applyFont="1" applyBorder="1" applyAlignment="1">
      <alignment horizontal="left" vertical="top" wrapText="1"/>
    </xf>
    <xf numFmtId="0" fontId="28" fillId="0" borderId="25" xfId="0" applyNumberFormat="1" applyFont="1" applyBorder="1" applyAlignment="1">
      <alignment horizontal="right" vertical="top"/>
    </xf>
    <xf numFmtId="0" fontId="26" fillId="0" borderId="26" xfId="0" applyNumberFormat="1" applyFont="1" applyBorder="1" applyAlignment="1">
      <alignment horizontal="left" vertical="top"/>
    </xf>
    <xf numFmtId="0" fontId="26" fillId="0" borderId="27" xfId="0" applyNumberFormat="1" applyFont="1" applyBorder="1" applyAlignment="1">
      <alignment horizontal="left" vertical="top" wrapText="1"/>
    </xf>
    <xf numFmtId="0" fontId="28" fillId="0" borderId="27" xfId="0" applyNumberFormat="1" applyFont="1" applyBorder="1" applyAlignment="1">
      <alignment horizontal="right" vertical="top"/>
    </xf>
    <xf numFmtId="1" fontId="28" fillId="0" borderId="28" xfId="0" applyNumberFormat="1" applyFont="1" applyBorder="1" applyAlignment="1">
      <alignment horizontal="left" vertical="top" wrapText="1"/>
    </xf>
    <xf numFmtId="178" fontId="28" fillId="0" borderId="29" xfId="0" applyNumberFormat="1" applyFont="1" applyBorder="1" applyAlignment="1">
      <alignment horizontal="right" vertical="top"/>
    </xf>
    <xf numFmtId="175" fontId="28" fillId="0" borderId="30" xfId="0" applyNumberFormat="1" applyFont="1" applyBorder="1" applyAlignment="1">
      <alignment horizontal="right" vertical="top"/>
    </xf>
    <xf numFmtId="0" fontId="28" fillId="0" borderId="28" xfId="0" applyNumberFormat="1" applyFont="1" applyBorder="1" applyAlignment="1">
      <alignment horizontal="left" vertical="top" wrapText="1"/>
    </xf>
    <xf numFmtId="1" fontId="28" fillId="0" borderId="31" xfId="0" applyNumberFormat="1" applyFont="1" applyBorder="1" applyAlignment="1">
      <alignment horizontal="left" vertical="top" wrapText="1"/>
    </xf>
    <xf numFmtId="175" fontId="28" fillId="0" borderId="29" xfId="0" applyNumberFormat="1" applyFont="1" applyBorder="1" applyAlignment="1">
      <alignment horizontal="right" vertical="top"/>
    </xf>
    <xf numFmtId="0" fontId="28" fillId="0" borderId="29" xfId="0" applyNumberFormat="1" applyFont="1" applyBorder="1" applyAlignment="1">
      <alignment horizontal="right" vertical="top"/>
    </xf>
    <xf numFmtId="0" fontId="26" fillId="0" borderId="32" xfId="0" applyNumberFormat="1" applyFont="1" applyBorder="1" applyAlignment="1">
      <alignment horizontal="left" vertical="top"/>
    </xf>
    <xf numFmtId="0" fontId="26" fillId="0" borderId="33" xfId="0" applyNumberFormat="1" applyFont="1" applyBorder="1" applyAlignment="1">
      <alignment horizontal="left" vertical="top" wrapText="1"/>
    </xf>
    <xf numFmtId="175" fontId="28" fillId="0" borderId="33" xfId="0" applyNumberFormat="1" applyFont="1" applyBorder="1" applyAlignment="1">
      <alignment horizontal="right" vertical="top"/>
    </xf>
    <xf numFmtId="0" fontId="26" fillId="0" borderId="34" xfId="0" applyNumberFormat="1" applyFont="1" applyBorder="1" applyAlignment="1">
      <alignment horizontal="left" vertical="top" wrapText="1"/>
    </xf>
    <xf numFmtId="175" fontId="28" fillId="0" borderId="35" xfId="0" applyNumberFormat="1" applyFont="1" applyBorder="1" applyAlignment="1">
      <alignment horizontal="right" vertical="top"/>
    </xf>
    <xf numFmtId="175" fontId="28" fillId="0" borderId="36" xfId="0" applyNumberFormat="1" applyFont="1" applyBorder="1" applyAlignment="1">
      <alignment horizontal="right" vertical="top"/>
    </xf>
    <xf numFmtId="0" fontId="26" fillId="0" borderId="37" xfId="0" applyNumberFormat="1" applyFont="1" applyBorder="1" applyAlignment="1">
      <alignment horizontal="left" vertical="top" wrapText="1"/>
    </xf>
    <xf numFmtId="175" fontId="28" fillId="0" borderId="38" xfId="0" applyNumberFormat="1" applyFont="1" applyBorder="1" applyAlignment="1">
      <alignment horizontal="right" vertical="top"/>
    </xf>
    <xf numFmtId="0" fontId="28" fillId="0" borderId="39" xfId="0" applyNumberFormat="1" applyFont="1" applyBorder="1" applyAlignment="1">
      <alignment horizontal="right" vertical="top"/>
    </xf>
    <xf numFmtId="0" fontId="26" fillId="0" borderId="16" xfId="0" applyNumberFormat="1" applyFont="1" applyBorder="1" applyAlignment="1">
      <alignment horizontal="left" vertical="top"/>
    </xf>
    <xf numFmtId="0" fontId="26" fillId="0" borderId="35" xfId="0" applyNumberFormat="1" applyFont="1" applyBorder="1" applyAlignment="1">
      <alignment horizontal="left" vertical="top" wrapText="1"/>
    </xf>
    <xf numFmtId="0" fontId="26" fillId="0" borderId="19" xfId="0" applyNumberFormat="1" applyFont="1" applyBorder="1" applyAlignment="1">
      <alignment horizontal="left" vertical="top"/>
    </xf>
    <xf numFmtId="0" fontId="26" fillId="0" borderId="38" xfId="0" applyNumberFormat="1" applyFont="1" applyBorder="1" applyAlignment="1">
      <alignment horizontal="left" vertical="top" wrapText="1"/>
    </xf>
    <xf numFmtId="0" fontId="28" fillId="0" borderId="38" xfId="0" applyNumberFormat="1" applyFont="1" applyBorder="1" applyAlignment="1">
      <alignment horizontal="right" vertical="top"/>
    </xf>
    <xf numFmtId="172" fontId="29" fillId="0" borderId="0" xfId="85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5" fillId="0" borderId="0" xfId="0" applyNumberFormat="1" applyFont="1" applyFill="1" applyBorder="1" applyAlignment="1">
      <alignment/>
    </xf>
    <xf numFmtId="41" fontId="30" fillId="0" borderId="0" xfId="0" applyNumberFormat="1" applyFont="1" applyFill="1" applyAlignment="1">
      <alignment vertical="center" wrapText="1"/>
    </xf>
    <xf numFmtId="0" fontId="28" fillId="0" borderId="0" xfId="0" applyFont="1" applyBorder="1" applyAlignment="1">
      <alignment horizontal="left"/>
    </xf>
    <xf numFmtId="0" fontId="28" fillId="0" borderId="0" xfId="0" applyNumberFormat="1" applyFont="1" applyBorder="1" applyAlignment="1">
      <alignment horizontal="right" vertical="top"/>
    </xf>
    <xf numFmtId="180" fontId="28" fillId="0" borderId="28" xfId="0" applyNumberFormat="1" applyFont="1" applyBorder="1" applyAlignment="1">
      <alignment horizontal="left" vertical="top" wrapText="1"/>
    </xf>
    <xf numFmtId="175" fontId="28" fillId="0" borderId="0" xfId="0" applyNumberFormat="1" applyFont="1" applyBorder="1" applyAlignment="1">
      <alignment horizontal="right" vertical="top"/>
    </xf>
    <xf numFmtId="0" fontId="28" fillId="0" borderId="35" xfId="0" applyNumberFormat="1" applyFont="1" applyBorder="1" applyAlignment="1">
      <alignment horizontal="right" vertical="top"/>
    </xf>
    <xf numFmtId="0" fontId="33" fillId="0" borderId="0" xfId="0" applyFont="1" applyFill="1" applyAlignment="1">
      <alignment horizontal="center"/>
    </xf>
    <xf numFmtId="0" fontId="3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172" fontId="44" fillId="0" borderId="0" xfId="85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172" fontId="43" fillId="0" borderId="0" xfId="85" applyNumberFormat="1" applyFont="1" applyFill="1" applyBorder="1" applyAlignment="1">
      <alignment/>
    </xf>
    <xf numFmtId="172" fontId="43" fillId="0" borderId="0" xfId="85" applyNumberFormat="1" applyFont="1" applyFill="1" applyBorder="1" applyAlignment="1">
      <alignment wrapText="1"/>
    </xf>
    <xf numFmtId="172" fontId="44" fillId="0" borderId="0" xfId="85" applyNumberFormat="1" applyFont="1" applyFill="1" applyBorder="1" applyAlignment="1">
      <alignment wrapText="1"/>
    </xf>
    <xf numFmtId="172" fontId="44" fillId="0" borderId="0" xfId="0" applyNumberFormat="1" applyFont="1" applyFill="1" applyBorder="1" applyAlignment="1">
      <alignment wrapText="1"/>
    </xf>
    <xf numFmtId="176" fontId="26" fillId="0" borderId="0" xfId="0" applyNumberFormat="1" applyFont="1" applyFill="1" applyBorder="1" applyAlignment="1">
      <alignment horizontal="right"/>
    </xf>
    <xf numFmtId="43" fontId="43" fillId="0" borderId="0" xfId="85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/>
    </xf>
    <xf numFmtId="0" fontId="27" fillId="0" borderId="0" xfId="0" applyNumberFormat="1" applyFont="1" applyAlignment="1">
      <alignment horizontal="center" wrapText="1"/>
    </xf>
    <xf numFmtId="0" fontId="26" fillId="0" borderId="0" xfId="0" applyNumberFormat="1" applyFont="1" applyAlignment="1">
      <alignment horizontal="center" wrapText="1"/>
    </xf>
    <xf numFmtId="0" fontId="51" fillId="0" borderId="0" xfId="0" applyFont="1" applyFill="1" applyAlignment="1">
      <alignment horizontal="center"/>
    </xf>
    <xf numFmtId="0" fontId="45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44" fontId="41" fillId="0" borderId="0" xfId="47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169" fontId="9" fillId="0" borderId="0" xfId="62" applyNumberFormat="1" applyFont="1" applyFill="1" applyAlignment="1">
      <alignment horizontal="right" vertical="top" wrapText="1"/>
      <protection/>
    </xf>
    <xf numFmtId="3" fontId="16" fillId="0" borderId="0" xfId="0" applyNumberFormat="1" applyFont="1" applyAlignment="1">
      <alignment horizontal="left"/>
    </xf>
    <xf numFmtId="3" fontId="2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Alignment="1">
      <alignment/>
    </xf>
    <xf numFmtId="177" fontId="0" fillId="0" borderId="0" xfId="0" applyNumberFormat="1" applyAlignment="1">
      <alignment/>
    </xf>
    <xf numFmtId="169" fontId="1" fillId="0" borderId="0" xfId="64" applyNumberFormat="1" applyFont="1" applyFill="1" applyAlignment="1">
      <alignment horizontal="right"/>
      <protection/>
    </xf>
    <xf numFmtId="169" fontId="2" fillId="0" borderId="0" xfId="64" applyNumberFormat="1" applyFont="1" applyFill="1" applyAlignment="1">
      <alignment horizontal="right"/>
      <protection/>
    </xf>
    <xf numFmtId="169" fontId="2" fillId="0" borderId="0" xfId="64" applyNumberFormat="1" applyFont="1" applyFill="1" applyAlignment="1">
      <alignment horizontal="right"/>
      <protection/>
    </xf>
    <xf numFmtId="169" fontId="39" fillId="32" borderId="0" xfId="73" applyNumberFormat="1" applyFont="1" applyFill="1" applyBorder="1" applyAlignment="1" applyProtection="1">
      <alignment horizontal="right" wrapText="1"/>
      <protection/>
    </xf>
    <xf numFmtId="169" fontId="1" fillId="0" borderId="0" xfId="64" applyNumberFormat="1" applyFont="1" applyBorder="1" applyAlignment="1">
      <alignment horizontal="right"/>
      <protection/>
    </xf>
    <xf numFmtId="169" fontId="2" fillId="0" borderId="0" xfId="64" applyNumberFormat="1" applyFont="1" applyBorder="1" applyAlignment="1">
      <alignment horizontal="right"/>
      <protection/>
    </xf>
    <xf numFmtId="169" fontId="12" fillId="32" borderId="0" xfId="73" applyNumberFormat="1" applyFont="1" applyFill="1" applyBorder="1" applyAlignment="1" applyProtection="1">
      <alignment horizontal="right" wrapText="1"/>
      <protection/>
    </xf>
    <xf numFmtId="169" fontId="26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169" fontId="31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2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28" fillId="0" borderId="0" xfId="0" applyNumberFormat="1" applyFont="1" applyAlignment="1">
      <alignment horizontal="left" wrapText="1"/>
    </xf>
    <xf numFmtId="0" fontId="31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174" fontId="16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left" wrapText="1"/>
    </xf>
    <xf numFmtId="0" fontId="19" fillId="0" borderId="0" xfId="0" applyFont="1" applyFill="1" applyAlignment="1">
      <alignment horizontal="center" wrapText="1"/>
    </xf>
    <xf numFmtId="3" fontId="10" fillId="0" borderId="41" xfId="0" applyNumberFormat="1" applyFont="1" applyFill="1" applyBorder="1" applyAlignment="1">
      <alignment wrapText="1"/>
    </xf>
    <xf numFmtId="3" fontId="10" fillId="0" borderId="15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3" fontId="24" fillId="0" borderId="27" xfId="0" applyNumberFormat="1" applyFont="1" applyFill="1" applyBorder="1" applyAlignment="1">
      <alignment horizontal="right"/>
    </xf>
    <xf numFmtId="3" fontId="24" fillId="0" borderId="42" xfId="0" applyNumberFormat="1" applyFont="1" applyFill="1" applyBorder="1" applyAlignment="1">
      <alignment horizontal="right"/>
    </xf>
    <xf numFmtId="3" fontId="24" fillId="0" borderId="43" xfId="0" applyNumberFormat="1" applyFont="1" applyFill="1" applyBorder="1" applyAlignment="1">
      <alignment horizontal="right"/>
    </xf>
    <xf numFmtId="0" fontId="2" fillId="0" borderId="0" xfId="63" applyNumberFormat="1" applyFont="1" applyBorder="1" applyAlignment="1">
      <alignment horizontal="center"/>
      <protection/>
    </xf>
    <xf numFmtId="0" fontId="2" fillId="0" borderId="0" xfId="63" applyNumberFormat="1" applyFont="1" applyBorder="1" applyAlignment="1">
      <alignment horizontal="center"/>
      <protection/>
    </xf>
    <xf numFmtId="1" fontId="2" fillId="0" borderId="0" xfId="63" applyNumberFormat="1" applyFont="1" applyBorder="1" applyAlignment="1">
      <alignment horizontal="left" indent="2"/>
      <protection/>
    </xf>
    <xf numFmtId="177" fontId="2" fillId="0" borderId="0" xfId="63" applyNumberFormat="1" applyFont="1" applyBorder="1" applyAlignment="1">
      <alignment horizontal="right"/>
      <protection/>
    </xf>
    <xf numFmtId="182" fontId="2" fillId="32" borderId="0" xfId="63" applyNumberFormat="1" applyFont="1" applyFill="1" applyBorder="1" applyAlignment="1">
      <alignment horizontal="right"/>
      <protection/>
    </xf>
    <xf numFmtId="0" fontId="2" fillId="32" borderId="0" xfId="63" applyNumberFormat="1" applyFont="1" applyFill="1" applyBorder="1" applyAlignment="1">
      <alignment horizontal="right"/>
      <protection/>
    </xf>
    <xf numFmtId="182" fontId="2" fillId="0" borderId="0" xfId="63" applyNumberFormat="1" applyFont="1" applyBorder="1" applyAlignment="1">
      <alignment horizontal="right"/>
      <protection/>
    </xf>
    <xf numFmtId="3" fontId="2" fillId="0" borderId="0" xfId="63" applyNumberFormat="1" applyFont="1" applyBorder="1" applyAlignment="1">
      <alignment horizontal="right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Денежный 4" xfId="49"/>
    <cellStyle name="Денежный 5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АНДАГАЧ тел3-33-96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Баланс" xfId="63"/>
    <cellStyle name="Обычный_Лист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16" xfId="81"/>
    <cellStyle name="Финансовый 17" xfId="82"/>
    <cellStyle name="Финансовый 18" xfId="83"/>
    <cellStyle name="Финансовый 19" xfId="84"/>
    <cellStyle name="Финансовый 2" xfId="85"/>
    <cellStyle name="Финансовый 20" xfId="86"/>
    <cellStyle name="Финансовый 21" xfId="87"/>
    <cellStyle name="Финансовый 22" xfId="88"/>
    <cellStyle name="Финансовый 23" xfId="89"/>
    <cellStyle name="Финансовый 24" xfId="90"/>
    <cellStyle name="Финансовый 3" xfId="91"/>
    <cellStyle name="Финансовый 4" xfId="92"/>
    <cellStyle name="Финансовый 5" xfId="93"/>
    <cellStyle name="Финансовый 6" xfId="94"/>
    <cellStyle name="Финансовый 7" xfId="95"/>
    <cellStyle name="Финансовый 8" xfId="96"/>
    <cellStyle name="Финансовый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.Gorbacheva\AppData\Local\Microsoft\Windows\Temporary%20Internet%20Files\Content.Outlook\KT41GQ84\&#1048;&#1085;&#1085;&#1086;&#1074;&#1072;%20&#1082;&#1086;&#1085;&#1089;%20%201%20&#1082;&#1074;%202013%20&#107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С анализ"/>
      <sheetName val="связанные стороны"/>
      <sheetName val="ОДДС"/>
      <sheetName val="ОСВ"/>
      <sheetName val="зачет"/>
      <sheetName val="Баланс"/>
      <sheetName val="Активы"/>
      <sheetName val="Обязательства"/>
      <sheetName val="СК"/>
      <sheetName val="ОС"/>
      <sheetName val="дивиденды"/>
      <sheetName val="опу1"/>
      <sheetName val="PL свод"/>
      <sheetName val="анализ"/>
      <sheetName val="Элиминация PL"/>
      <sheetName val="расходы"/>
      <sheetName val="расшифровка PL"/>
      <sheetName val="доля меньшинства"/>
      <sheetName val="резерв"/>
      <sheetName val="баланс свод"/>
      <sheetName val="элиминация баланс"/>
      <sheetName val="Продажа земли"/>
      <sheetName val="элиминация Макта-ICP"/>
      <sheetName val="баланс Макта-ICP"/>
      <sheetName val="баланс АСА"/>
      <sheetName val="баланс ВС"/>
      <sheetName val="баланс Иннова"/>
      <sheetName val="ОПУ"/>
      <sheetName val="5610"/>
    </sheetNames>
    <sheetDataSet>
      <sheetData sheetId="11">
        <row r="8">
          <cell r="G8">
            <v>284373</v>
          </cell>
        </row>
        <row r="11">
          <cell r="G11">
            <v>8021</v>
          </cell>
        </row>
        <row r="15">
          <cell r="D15">
            <v>7191.20228</v>
          </cell>
        </row>
        <row r="26">
          <cell r="D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68"/>
  <sheetViews>
    <sheetView zoomScalePageLayoutView="0" workbookViewId="0" topLeftCell="A18">
      <selection activeCell="C19" sqref="C19"/>
    </sheetView>
  </sheetViews>
  <sheetFormatPr defaultColWidth="9.00390625" defaultRowHeight="12.75" outlineLevelCol="1"/>
  <cols>
    <col min="1" max="1" width="53.25390625" style="25" customWidth="1"/>
    <col min="2" max="2" width="8.25390625" style="25" customWidth="1"/>
    <col min="3" max="3" width="12.375" style="52" customWidth="1"/>
    <col min="4" max="4" width="13.75390625" style="25" customWidth="1" outlineLevel="1"/>
    <col min="5" max="5" width="10.625" style="26" customWidth="1" outlineLevel="1"/>
    <col min="6" max="8" width="9.125" style="27" customWidth="1" outlineLevel="1"/>
    <col min="9" max="9" width="9.375" style="25" customWidth="1" outlineLevel="1"/>
    <col min="10" max="11" width="9.125" style="25" customWidth="1" outlineLevel="1"/>
    <col min="12" max="12" width="13.125" style="25" customWidth="1" outlineLevel="1"/>
    <col min="13" max="13" width="10.875" style="25" customWidth="1" outlineLevel="1"/>
    <col min="14" max="14" width="11.125" style="25" customWidth="1" outlineLevel="1"/>
    <col min="15" max="15" width="11.00390625" style="25" customWidth="1" outlineLevel="1"/>
    <col min="16" max="16" width="15.375" style="25" customWidth="1" outlineLevel="1"/>
    <col min="17" max="17" width="11.00390625" style="25" customWidth="1" outlineLevel="1"/>
    <col min="18" max="18" width="9.125" style="25" customWidth="1" outlineLevel="1"/>
    <col min="19" max="16384" width="9.125" style="25" customWidth="1"/>
  </cols>
  <sheetData>
    <row r="1" spans="1:8" s="22" customFormat="1" ht="12.75">
      <c r="A1" s="22" t="s">
        <v>4</v>
      </c>
      <c r="C1" s="284"/>
      <c r="E1" s="23"/>
      <c r="F1" s="24"/>
      <c r="G1" s="24"/>
      <c r="H1" s="24"/>
    </row>
    <row r="2" spans="1:8" s="22" customFormat="1" ht="12.75">
      <c r="A2" s="22" t="s">
        <v>314</v>
      </c>
      <c r="C2" s="284"/>
      <c r="E2" s="23"/>
      <c r="F2" s="24"/>
      <c r="G2" s="24"/>
      <c r="H2" s="24"/>
    </row>
    <row r="3" spans="3:8" s="22" customFormat="1" ht="12.75">
      <c r="C3" s="284"/>
      <c r="E3" s="23"/>
      <c r="F3" s="24"/>
      <c r="G3" s="24"/>
      <c r="H3" s="24"/>
    </row>
    <row r="5" spans="1:8" s="28" customFormat="1" ht="12.75">
      <c r="A5" s="299" t="s">
        <v>122</v>
      </c>
      <c r="B5" s="299"/>
      <c r="C5" s="299"/>
      <c r="D5" s="299"/>
      <c r="E5" s="29"/>
      <c r="F5" s="30"/>
      <c r="G5" s="30"/>
      <c r="H5" s="30"/>
    </row>
    <row r="6" spans="1:8" s="28" customFormat="1" ht="12.75">
      <c r="A6" s="299" t="s">
        <v>313</v>
      </c>
      <c r="B6" s="299"/>
      <c r="C6" s="299"/>
      <c r="D6" s="299"/>
      <c r="E6" s="29"/>
      <c r="F6" s="30"/>
      <c r="G6" s="30"/>
      <c r="H6" s="30"/>
    </row>
    <row r="7" spans="3:8" s="28" customFormat="1" ht="12.75">
      <c r="C7" s="55"/>
      <c r="D7" s="31" t="s">
        <v>55</v>
      </c>
      <c r="E7" s="29"/>
      <c r="F7" s="30"/>
      <c r="G7" s="30"/>
      <c r="H7" s="30"/>
    </row>
    <row r="8" spans="1:4" ht="14.25">
      <c r="A8" s="300" t="s">
        <v>56</v>
      </c>
      <c r="B8" s="301" t="s">
        <v>143</v>
      </c>
      <c r="C8" s="285" t="s">
        <v>57</v>
      </c>
      <c r="D8" s="124" t="s">
        <v>57</v>
      </c>
    </row>
    <row r="9" spans="1:5" ht="15" customHeight="1">
      <c r="A9" s="300"/>
      <c r="B9" s="301"/>
      <c r="C9" s="285" t="s">
        <v>315</v>
      </c>
      <c r="D9" s="124" t="s">
        <v>323</v>
      </c>
      <c r="E9" s="32"/>
    </row>
    <row r="10" spans="1:4" ht="10.5" customHeight="1">
      <c r="A10" s="39" t="s">
        <v>58</v>
      </c>
      <c r="B10" s="44"/>
      <c r="C10" s="45"/>
      <c r="D10" s="84"/>
    </row>
    <row r="11" spans="1:4" ht="15" customHeight="1">
      <c r="A11" s="129" t="s">
        <v>59</v>
      </c>
      <c r="B11" s="44"/>
      <c r="C11" s="45"/>
      <c r="D11" s="84"/>
    </row>
    <row r="12" spans="1:21" ht="15" customHeight="1">
      <c r="A12" s="130" t="s">
        <v>60</v>
      </c>
      <c r="B12" s="125">
        <v>4</v>
      </c>
      <c r="C12" s="85">
        <v>442.63199</v>
      </c>
      <c r="D12" s="85">
        <v>4642</v>
      </c>
      <c r="E12" s="85"/>
      <c r="F12" s="85"/>
      <c r="G12" s="85"/>
      <c r="H12" s="85"/>
      <c r="I12" s="87"/>
      <c r="S12" s="72"/>
      <c r="U12" s="52"/>
    </row>
    <row r="13" spans="1:21" ht="28.5" customHeight="1">
      <c r="A13" s="282" t="s">
        <v>307</v>
      </c>
      <c r="B13" s="125">
        <v>5</v>
      </c>
      <c r="C13" s="85">
        <v>9276.875600000001</v>
      </c>
      <c r="D13" s="85">
        <v>9205</v>
      </c>
      <c r="E13" s="34"/>
      <c r="F13" s="35"/>
      <c r="I13" s="87"/>
      <c r="K13" s="323"/>
      <c r="L13" s="323"/>
      <c r="M13" s="323"/>
      <c r="N13" s="323"/>
      <c r="O13" s="323"/>
      <c r="P13" s="323"/>
      <c r="Q13" s="323"/>
      <c r="S13" s="72"/>
      <c r="U13" s="52"/>
    </row>
    <row r="14" spans="1:21" ht="15" customHeight="1">
      <c r="A14" s="130" t="s">
        <v>61</v>
      </c>
      <c r="B14" s="125">
        <v>7</v>
      </c>
      <c r="C14" s="85">
        <v>2514606.5163599993</v>
      </c>
      <c r="D14" s="85">
        <v>3088841</v>
      </c>
      <c r="E14" s="34"/>
      <c r="F14" s="35"/>
      <c r="I14" s="87"/>
      <c r="K14" s="324"/>
      <c r="L14" s="323"/>
      <c r="M14" s="323"/>
      <c r="N14" s="323"/>
      <c r="O14" s="323"/>
      <c r="P14" s="323"/>
      <c r="Q14" s="323"/>
      <c r="S14" s="72"/>
      <c r="U14" s="52"/>
    </row>
    <row r="15" spans="1:21" ht="15" customHeight="1">
      <c r="A15" s="130" t="s">
        <v>62</v>
      </c>
      <c r="B15" s="125">
        <v>8</v>
      </c>
      <c r="C15" s="85">
        <v>79.55357000000001</v>
      </c>
      <c r="D15" s="85">
        <v>92</v>
      </c>
      <c r="E15" s="34"/>
      <c r="F15" s="35"/>
      <c r="I15" s="87"/>
      <c r="K15" s="325"/>
      <c r="L15" s="326"/>
      <c r="M15" s="198"/>
      <c r="N15" s="327"/>
      <c r="O15" s="328"/>
      <c r="P15" s="326"/>
      <c r="Q15" s="198"/>
      <c r="S15" s="72"/>
      <c r="U15" s="52"/>
    </row>
    <row r="16" spans="1:21" ht="15" customHeight="1" hidden="1">
      <c r="A16" s="130" t="s">
        <v>144</v>
      </c>
      <c r="B16" s="125"/>
      <c r="C16" s="85"/>
      <c r="D16" s="85"/>
      <c r="E16" s="85">
        <v>100076</v>
      </c>
      <c r="F16" s="85">
        <v>100076</v>
      </c>
      <c r="G16" s="85">
        <v>100076</v>
      </c>
      <c r="H16" s="85">
        <v>100076</v>
      </c>
      <c r="I16" s="87"/>
      <c r="K16" s="325"/>
      <c r="L16" s="329"/>
      <c r="M16" s="198"/>
      <c r="N16" s="327"/>
      <c r="O16" s="328"/>
      <c r="P16" s="329"/>
      <c r="Q16" s="198"/>
      <c r="S16" s="72"/>
      <c r="U16" s="52"/>
    </row>
    <row r="17" spans="1:21" ht="15" customHeight="1">
      <c r="A17" s="130" t="s">
        <v>63</v>
      </c>
      <c r="B17" s="125">
        <v>9</v>
      </c>
      <c r="C17" s="85">
        <v>4185.42468</v>
      </c>
      <c r="D17" s="85">
        <v>2765</v>
      </c>
      <c r="E17" s="34"/>
      <c r="F17" s="35"/>
      <c r="I17" s="87"/>
      <c r="K17" s="325"/>
      <c r="L17" s="326"/>
      <c r="M17" s="198"/>
      <c r="N17" s="199"/>
      <c r="O17" s="328"/>
      <c r="P17" s="330"/>
      <c r="Q17" s="198"/>
      <c r="S17" s="72"/>
      <c r="U17" s="52"/>
    </row>
    <row r="18" spans="1:21" ht="15" customHeight="1">
      <c r="A18" s="130" t="s">
        <v>316</v>
      </c>
      <c r="B18" s="125">
        <v>6</v>
      </c>
      <c r="C18" s="85"/>
      <c r="D18" s="85">
        <v>2299925</v>
      </c>
      <c r="E18" s="34"/>
      <c r="F18" s="35"/>
      <c r="I18" s="87"/>
      <c r="K18" s="325"/>
      <c r="L18" s="326"/>
      <c r="M18" s="198"/>
      <c r="N18" s="327"/>
      <c r="O18" s="328"/>
      <c r="P18" s="326"/>
      <c r="Q18" s="198"/>
      <c r="S18" s="72"/>
      <c r="U18" s="52"/>
    </row>
    <row r="19" spans="1:21" ht="15" customHeight="1">
      <c r="A19" s="130" t="s">
        <v>64</v>
      </c>
      <c r="B19" s="125">
        <v>10</v>
      </c>
      <c r="C19" s="85">
        <v>372288.79866000003</v>
      </c>
      <c r="D19" s="85">
        <v>11312</v>
      </c>
      <c r="E19" s="34"/>
      <c r="F19" s="35"/>
      <c r="I19" s="87"/>
      <c r="K19" s="325"/>
      <c r="L19" s="198"/>
      <c r="M19" s="326"/>
      <c r="N19" s="328"/>
      <c r="O19" s="327"/>
      <c r="P19" s="198"/>
      <c r="Q19" s="326"/>
      <c r="S19" s="72"/>
      <c r="U19" s="52"/>
    </row>
    <row r="20" spans="1:21" ht="15" customHeight="1">
      <c r="A20" s="129" t="s">
        <v>65</v>
      </c>
      <c r="B20" s="126"/>
      <c r="C20" s="45">
        <f>SUM(C12:C19)+0.7</f>
        <v>2900880.5008599996</v>
      </c>
      <c r="D20" s="45">
        <f>SUM(D12:D19)</f>
        <v>5416782</v>
      </c>
      <c r="E20" s="34"/>
      <c r="F20" s="35"/>
      <c r="I20" s="87"/>
      <c r="K20" s="325"/>
      <c r="L20" s="198"/>
      <c r="M20" s="326"/>
      <c r="N20" s="328"/>
      <c r="O20" s="199"/>
      <c r="P20" s="198"/>
      <c r="Q20" s="326"/>
      <c r="S20" s="72"/>
      <c r="U20" s="52"/>
    </row>
    <row r="21" spans="1:21" ht="15" customHeight="1">
      <c r="A21" s="129" t="s">
        <v>66</v>
      </c>
      <c r="B21" s="44"/>
      <c r="C21" s="45"/>
      <c r="D21" s="84"/>
      <c r="E21" s="34"/>
      <c r="F21" s="35"/>
      <c r="I21" s="87"/>
      <c r="K21" s="325"/>
      <c r="L21" s="198"/>
      <c r="M21" s="329"/>
      <c r="N21" s="328"/>
      <c r="O21" s="327"/>
      <c r="P21" s="198"/>
      <c r="Q21" s="329"/>
      <c r="S21" s="73"/>
      <c r="U21" s="52"/>
    </row>
    <row r="22" spans="1:21" ht="15" customHeight="1">
      <c r="A22" s="130" t="s">
        <v>67</v>
      </c>
      <c r="B22" s="125">
        <v>11</v>
      </c>
      <c r="C22" s="85">
        <v>10754.72266</v>
      </c>
      <c r="D22" s="85">
        <v>11858</v>
      </c>
      <c r="E22" s="34"/>
      <c r="F22" s="35"/>
      <c r="I22" s="87"/>
      <c r="K22" s="198"/>
      <c r="L22" s="198"/>
      <c r="M22" s="198"/>
      <c r="N22" s="199"/>
      <c r="O22" s="199"/>
      <c r="P22" s="198"/>
      <c r="Q22" s="198"/>
      <c r="S22" s="72"/>
      <c r="U22" s="52"/>
    </row>
    <row r="23" spans="1:21" ht="15" customHeight="1" hidden="1" thickBot="1">
      <c r="A23" s="130" t="s">
        <v>45</v>
      </c>
      <c r="B23" s="125"/>
      <c r="C23" s="85">
        <v>0</v>
      </c>
      <c r="D23" s="85"/>
      <c r="E23" s="34"/>
      <c r="F23" s="35"/>
      <c r="I23" s="87"/>
      <c r="K23" s="198"/>
      <c r="L23" s="198"/>
      <c r="M23" s="198"/>
      <c r="N23" s="199"/>
      <c r="O23" s="199"/>
      <c r="P23" s="198"/>
      <c r="Q23" s="198"/>
      <c r="S23" s="72"/>
      <c r="U23" s="52"/>
    </row>
    <row r="24" spans="1:21" ht="15" customHeight="1">
      <c r="A24" s="130" t="s">
        <v>68</v>
      </c>
      <c r="B24" s="125">
        <v>12</v>
      </c>
      <c r="C24" s="85">
        <v>5645091</v>
      </c>
      <c r="D24" s="85">
        <v>5645091</v>
      </c>
      <c r="E24" s="34"/>
      <c r="F24" s="35"/>
      <c r="I24" s="87"/>
      <c r="K24" s="198"/>
      <c r="L24" s="198"/>
      <c r="M24" s="198"/>
      <c r="N24" s="199"/>
      <c r="O24" s="199"/>
      <c r="P24" s="198"/>
      <c r="Q24" s="198"/>
      <c r="S24" s="72"/>
      <c r="U24" s="52"/>
    </row>
    <row r="25" spans="1:21" ht="15" customHeight="1">
      <c r="A25" s="130" t="s">
        <v>69</v>
      </c>
      <c r="B25" s="125">
        <v>13</v>
      </c>
      <c r="C25" s="85">
        <v>2398.63857</v>
      </c>
      <c r="D25" s="283">
        <v>2334</v>
      </c>
      <c r="E25" s="34"/>
      <c r="F25" s="35"/>
      <c r="I25" s="87"/>
      <c r="K25" s="87"/>
      <c r="L25" s="87"/>
      <c r="M25" s="87"/>
      <c r="N25" s="83"/>
      <c r="O25" s="87"/>
      <c r="P25" s="87"/>
      <c r="Q25" s="83"/>
      <c r="S25" s="72"/>
      <c r="U25" s="52"/>
    </row>
    <row r="26" spans="1:21" ht="15" customHeight="1">
      <c r="A26" s="130" t="s">
        <v>70</v>
      </c>
      <c r="B26" s="125">
        <v>14</v>
      </c>
      <c r="C26" s="85">
        <v>447.79913999999997</v>
      </c>
      <c r="D26" s="283">
        <v>451</v>
      </c>
      <c r="E26" s="34"/>
      <c r="F26" s="35"/>
      <c r="I26" s="87"/>
      <c r="K26" s="87"/>
      <c r="L26" s="87"/>
      <c r="M26" s="87"/>
      <c r="N26" s="83"/>
      <c r="O26" s="200"/>
      <c r="P26" s="200"/>
      <c r="Q26" s="83"/>
      <c r="S26" s="72"/>
      <c r="U26" s="52"/>
    </row>
    <row r="27" spans="1:21" ht="15" customHeight="1" hidden="1">
      <c r="A27" s="130" t="s">
        <v>120</v>
      </c>
      <c r="B27" s="125">
        <v>14</v>
      </c>
      <c r="C27" s="85"/>
      <c r="D27" s="85"/>
      <c r="E27" s="34"/>
      <c r="F27" s="35"/>
      <c r="I27" s="87"/>
      <c r="K27" s="87"/>
      <c r="L27" s="87"/>
      <c r="M27" s="87"/>
      <c r="N27" s="83"/>
      <c r="O27" s="200"/>
      <c r="P27" s="200"/>
      <c r="Q27" s="83"/>
      <c r="S27" s="72"/>
      <c r="U27" s="52"/>
    </row>
    <row r="28" spans="1:21" ht="15" customHeight="1" hidden="1">
      <c r="A28" s="130" t="s">
        <v>173</v>
      </c>
      <c r="B28" s="125"/>
      <c r="C28" s="85"/>
      <c r="D28" s="85"/>
      <c r="E28" s="34"/>
      <c r="F28" s="35"/>
      <c r="I28" s="87"/>
      <c r="K28" s="72"/>
      <c r="L28" s="72"/>
      <c r="M28" s="72"/>
      <c r="O28" s="72"/>
      <c r="P28" s="72"/>
      <c r="S28" s="72"/>
      <c r="U28" s="52"/>
    </row>
    <row r="29" spans="1:21" ht="15" customHeight="1">
      <c r="A29" s="130" t="s">
        <v>148</v>
      </c>
      <c r="B29" s="125"/>
      <c r="C29" s="85">
        <v>781</v>
      </c>
      <c r="D29" s="283">
        <v>781</v>
      </c>
      <c r="E29" s="34"/>
      <c r="F29" s="35"/>
      <c r="I29" s="87"/>
      <c r="K29" s="72"/>
      <c r="L29" s="72"/>
      <c r="M29" s="72"/>
      <c r="O29" s="72"/>
      <c r="P29" s="72"/>
      <c r="S29" s="72"/>
      <c r="U29" s="52"/>
    </row>
    <row r="30" spans="1:21" ht="15" customHeight="1" hidden="1">
      <c r="A30" s="130" t="s">
        <v>173</v>
      </c>
      <c r="B30" s="125"/>
      <c r="C30" s="85"/>
      <c r="D30" s="85"/>
      <c r="E30" s="34"/>
      <c r="F30" s="35"/>
      <c r="I30" s="87"/>
      <c r="K30" s="72"/>
      <c r="L30" s="72"/>
      <c r="M30" s="72"/>
      <c r="O30" s="72"/>
      <c r="P30" s="72"/>
      <c r="S30" s="72"/>
      <c r="U30" s="52"/>
    </row>
    <row r="31" spans="1:21" ht="15" customHeight="1">
      <c r="A31" s="129" t="s">
        <v>71</v>
      </c>
      <c r="B31" s="126"/>
      <c r="C31" s="45">
        <f>SUM(C22:C30)+1</f>
        <v>5659474.160370001</v>
      </c>
      <c r="D31" s="45">
        <f>SUM(D22:D29)</f>
        <v>5660515</v>
      </c>
      <c r="I31" s="87"/>
      <c r="K31" s="72"/>
      <c r="L31" s="72"/>
      <c r="M31" s="72"/>
      <c r="O31" s="72"/>
      <c r="P31" s="72"/>
      <c r="S31" s="72"/>
      <c r="U31" s="52"/>
    </row>
    <row r="32" spans="1:21" ht="15" customHeight="1">
      <c r="A32" s="129" t="s">
        <v>72</v>
      </c>
      <c r="B32" s="44"/>
      <c r="C32" s="45">
        <f>C31+C20</f>
        <v>8560354.66123</v>
      </c>
      <c r="D32" s="45">
        <f>D31+D20</f>
        <v>11077297</v>
      </c>
      <c r="E32" s="36"/>
      <c r="I32" s="87"/>
      <c r="K32" s="72"/>
      <c r="L32" s="72"/>
      <c r="M32" s="72"/>
      <c r="O32" s="72"/>
      <c r="P32" s="72"/>
      <c r="S32" s="72"/>
      <c r="U32" s="52"/>
    </row>
    <row r="33" spans="1:21" ht="15" customHeight="1">
      <c r="A33" s="129" t="s">
        <v>310</v>
      </c>
      <c r="B33" s="44"/>
      <c r="C33" s="45"/>
      <c r="D33" s="84"/>
      <c r="I33" s="87"/>
      <c r="K33" s="72"/>
      <c r="L33" s="73"/>
      <c r="M33" s="72"/>
      <c r="O33" s="73"/>
      <c r="P33" s="73"/>
      <c r="S33" s="73"/>
      <c r="U33" s="52"/>
    </row>
    <row r="34" spans="1:21" ht="15" customHeight="1">
      <c r="A34" s="129" t="s">
        <v>73</v>
      </c>
      <c r="B34" s="126"/>
      <c r="C34" s="45"/>
      <c r="D34" s="84"/>
      <c r="I34" s="87"/>
      <c r="K34" s="72"/>
      <c r="L34" s="73"/>
      <c r="M34" s="72"/>
      <c r="O34" s="73"/>
      <c r="P34" s="73"/>
      <c r="S34" s="73"/>
      <c r="U34" s="52"/>
    </row>
    <row r="35" spans="1:21" ht="15" customHeight="1" hidden="1">
      <c r="A35" s="130" t="s">
        <v>169</v>
      </c>
      <c r="B35" s="125">
        <v>15</v>
      </c>
      <c r="C35" s="85" t="e">
        <f>#REF!</f>
        <v>#REF!</v>
      </c>
      <c r="D35" s="85"/>
      <c r="I35" s="87"/>
      <c r="K35" s="72"/>
      <c r="L35" s="72"/>
      <c r="M35" s="72"/>
      <c r="O35" s="73"/>
      <c r="P35" s="73"/>
      <c r="S35" s="72"/>
      <c r="U35" s="52"/>
    </row>
    <row r="36" spans="1:21" ht="15" customHeight="1">
      <c r="A36" s="130" t="s">
        <v>188</v>
      </c>
      <c r="B36" s="125">
        <v>20</v>
      </c>
      <c r="C36" s="85">
        <v>73818.75249</v>
      </c>
      <c r="D36" s="85">
        <v>153289</v>
      </c>
      <c r="I36" s="87"/>
      <c r="K36" s="72"/>
      <c r="L36" s="73"/>
      <c r="M36" s="72"/>
      <c r="O36" s="73"/>
      <c r="P36" s="73"/>
      <c r="S36" s="72"/>
      <c r="U36" s="52"/>
    </row>
    <row r="37" spans="1:21" ht="15" customHeight="1">
      <c r="A37" s="130" t="s">
        <v>74</v>
      </c>
      <c r="B37" s="125">
        <v>15</v>
      </c>
      <c r="C37" s="85">
        <v>2289.89215</v>
      </c>
      <c r="D37" s="85">
        <v>4888</v>
      </c>
      <c r="I37" s="87"/>
      <c r="K37" s="72"/>
      <c r="L37" s="72"/>
      <c r="M37" s="72"/>
      <c r="O37" s="72"/>
      <c r="P37" s="72"/>
      <c r="S37" s="72"/>
      <c r="U37" s="52"/>
    </row>
    <row r="38" spans="1:21" ht="15" customHeight="1">
      <c r="A38" s="130" t="s">
        <v>42</v>
      </c>
      <c r="B38" s="125">
        <v>16</v>
      </c>
      <c r="C38" s="85">
        <v>401.39744</v>
      </c>
      <c r="D38" s="85">
        <v>386</v>
      </c>
      <c r="I38" s="87"/>
      <c r="K38" s="72"/>
      <c r="L38" s="72"/>
      <c r="M38" s="72"/>
      <c r="O38" s="72"/>
      <c r="P38" s="72"/>
      <c r="S38" s="72"/>
      <c r="U38" s="52"/>
    </row>
    <row r="39" spans="1:21" ht="15" customHeight="1">
      <c r="A39" s="130" t="s">
        <v>75</v>
      </c>
      <c r="B39" s="125">
        <v>17</v>
      </c>
      <c r="C39" s="85">
        <v>95296.63675000002</v>
      </c>
      <c r="D39" s="85">
        <v>131633</v>
      </c>
      <c r="I39" s="87"/>
      <c r="K39" s="72"/>
      <c r="L39" s="72"/>
      <c r="M39" s="72"/>
      <c r="O39" s="72"/>
      <c r="P39" s="72"/>
      <c r="S39" s="72"/>
      <c r="U39" s="52"/>
    </row>
    <row r="40" spans="1:21" ht="15" customHeight="1">
      <c r="A40" s="130" t="s">
        <v>76</v>
      </c>
      <c r="B40" s="125">
        <v>19</v>
      </c>
      <c r="C40" s="85">
        <v>1070.63162</v>
      </c>
      <c r="D40" s="85">
        <v>1585</v>
      </c>
      <c r="I40" s="87"/>
      <c r="K40" s="72"/>
      <c r="L40" s="73"/>
      <c r="M40" s="72"/>
      <c r="O40" s="73"/>
      <c r="P40" s="73"/>
      <c r="S40" s="72"/>
      <c r="U40" s="52"/>
    </row>
    <row r="41" spans="1:21" ht="15" customHeight="1">
      <c r="A41" s="130" t="s">
        <v>77</v>
      </c>
      <c r="B41" s="125">
        <v>18</v>
      </c>
      <c r="C41" s="85">
        <v>92.71967999999998</v>
      </c>
      <c r="D41" s="85">
        <v>1261</v>
      </c>
      <c r="I41" s="87"/>
      <c r="K41" s="72"/>
      <c r="L41" s="73"/>
      <c r="M41" s="72"/>
      <c r="O41" s="73"/>
      <c r="P41" s="73"/>
      <c r="S41" s="72"/>
      <c r="U41" s="52"/>
    </row>
    <row r="42" spans="1:21" ht="15" customHeight="1">
      <c r="A42" s="129" t="s">
        <v>78</v>
      </c>
      <c r="B42" s="126"/>
      <c r="C42" s="45">
        <f>SUM(C36:C41)</f>
        <v>172970.03013000003</v>
      </c>
      <c r="D42" s="45">
        <f>SUM(D35:D41)</f>
        <v>293042</v>
      </c>
      <c r="I42" s="87"/>
      <c r="K42" s="72"/>
      <c r="L42" s="72"/>
      <c r="M42" s="72"/>
      <c r="O42" s="72"/>
      <c r="P42" s="72"/>
      <c r="S42" s="72"/>
      <c r="U42" s="52"/>
    </row>
    <row r="43" spans="1:21" ht="15" customHeight="1">
      <c r="A43" s="129" t="s">
        <v>79</v>
      </c>
      <c r="B43" s="44"/>
      <c r="C43" s="45"/>
      <c r="D43" s="45"/>
      <c r="I43" s="87"/>
      <c r="K43" s="72"/>
      <c r="L43" s="72"/>
      <c r="M43" s="72"/>
      <c r="O43" s="72"/>
      <c r="P43" s="72"/>
      <c r="S43" s="73"/>
      <c r="U43" s="52"/>
    </row>
    <row r="44" spans="1:21" ht="15" customHeight="1" hidden="1">
      <c r="A44" s="130" t="s">
        <v>167</v>
      </c>
      <c r="B44" s="127">
        <v>15</v>
      </c>
      <c r="C44" s="85" t="e">
        <f>#REF!</f>
        <v>#REF!</v>
      </c>
      <c r="D44" s="85"/>
      <c r="I44" s="87"/>
      <c r="K44" s="72"/>
      <c r="L44" s="72"/>
      <c r="M44" s="72"/>
      <c r="O44" s="72"/>
      <c r="P44" s="72"/>
      <c r="S44" s="72"/>
      <c r="U44" s="52"/>
    </row>
    <row r="45" spans="1:21" ht="15" customHeight="1" hidden="1">
      <c r="A45" s="130" t="s">
        <v>80</v>
      </c>
      <c r="B45" s="125"/>
      <c r="C45" s="85"/>
      <c r="D45" s="85"/>
      <c r="I45" s="87"/>
      <c r="K45" s="72"/>
      <c r="L45" s="72"/>
      <c r="M45" s="72"/>
      <c r="O45" s="72"/>
      <c r="P45" s="72"/>
      <c r="S45" s="72"/>
      <c r="U45" s="52"/>
    </row>
    <row r="46" spans="1:21" ht="15" customHeight="1">
      <c r="A46" s="130" t="s">
        <v>81</v>
      </c>
      <c r="B46" s="125"/>
      <c r="C46" s="85">
        <v>1092658</v>
      </c>
      <c r="D46" s="85">
        <v>1092658</v>
      </c>
      <c r="I46" s="87"/>
      <c r="J46" s="52"/>
      <c r="S46" s="72"/>
      <c r="U46" s="52"/>
    </row>
    <row r="47" spans="1:21" ht="15" customHeight="1">
      <c r="A47" s="130" t="s">
        <v>181</v>
      </c>
      <c r="B47" s="125">
        <v>20</v>
      </c>
      <c r="C47" s="85">
        <v>2999772.62977</v>
      </c>
      <c r="D47" s="85">
        <v>3021706</v>
      </c>
      <c r="I47" s="87"/>
      <c r="J47" s="52"/>
      <c r="K47" s="135"/>
      <c r="S47" s="72"/>
      <c r="U47" s="52"/>
    </row>
    <row r="48" spans="1:21" ht="15" customHeight="1">
      <c r="A48" s="130" t="s">
        <v>182</v>
      </c>
      <c r="B48" s="125"/>
      <c r="C48" s="286"/>
      <c r="D48" s="85"/>
      <c r="I48" s="87"/>
      <c r="K48" s="135"/>
      <c r="S48" s="72"/>
      <c r="U48" s="52"/>
    </row>
    <row r="49" spans="1:21" ht="15" customHeight="1">
      <c r="A49" s="129" t="s">
        <v>82</v>
      </c>
      <c r="B49" s="126"/>
      <c r="C49" s="45">
        <f>C46+C47</f>
        <v>4092430.62977</v>
      </c>
      <c r="D49" s="45">
        <f>SUM(D44:D47)</f>
        <v>4114364</v>
      </c>
      <c r="I49" s="87"/>
      <c r="K49" s="136"/>
      <c r="S49" s="72"/>
      <c r="U49" s="52"/>
    </row>
    <row r="50" spans="1:21" ht="15" customHeight="1">
      <c r="A50" s="129" t="s">
        <v>83</v>
      </c>
      <c r="B50" s="44"/>
      <c r="C50" s="45"/>
      <c r="D50" s="84"/>
      <c r="I50" s="87"/>
      <c r="K50" s="135"/>
      <c r="S50" s="73"/>
      <c r="U50" s="52"/>
    </row>
    <row r="51" spans="1:21" ht="15" customHeight="1">
      <c r="A51" s="130" t="s">
        <v>84</v>
      </c>
      <c r="B51" s="125"/>
      <c r="C51" s="85">
        <v>1254280.62029</v>
      </c>
      <c r="D51" s="85">
        <v>1254281</v>
      </c>
      <c r="E51" s="85"/>
      <c r="F51" s="85"/>
      <c r="G51" s="85"/>
      <c r="H51" s="85"/>
      <c r="I51" s="87"/>
      <c r="K51" s="135"/>
      <c r="S51" s="72"/>
      <c r="U51" s="52"/>
    </row>
    <row r="52" spans="1:21" ht="15" customHeight="1" hidden="1">
      <c r="A52" s="130" t="s">
        <v>85</v>
      </c>
      <c r="B52" s="125"/>
      <c r="C52" s="85"/>
      <c r="D52" s="85"/>
      <c r="E52" s="320">
        <v>303881</v>
      </c>
      <c r="F52" s="321">
        <v>303881</v>
      </c>
      <c r="G52" s="321">
        <v>303881</v>
      </c>
      <c r="H52" s="322">
        <v>303881</v>
      </c>
      <c r="I52" s="87"/>
      <c r="S52" s="72"/>
      <c r="U52" s="52"/>
    </row>
    <row r="53" spans="1:21" ht="15" customHeight="1" hidden="1">
      <c r="A53" s="130" t="s">
        <v>186</v>
      </c>
      <c r="B53" s="125"/>
      <c r="C53" s="85"/>
      <c r="D53" s="85"/>
      <c r="I53" s="87"/>
      <c r="S53" s="72"/>
      <c r="U53" s="52"/>
    </row>
    <row r="54" spans="1:21" ht="15" customHeight="1" hidden="1">
      <c r="A54" s="130" t="s">
        <v>308</v>
      </c>
      <c r="B54" s="125"/>
      <c r="C54" s="85"/>
      <c r="D54" s="85"/>
      <c r="E54" s="123">
        <v>23948803</v>
      </c>
      <c r="F54" s="33">
        <v>23948803</v>
      </c>
      <c r="G54" s="33">
        <v>23948803</v>
      </c>
      <c r="H54" s="82">
        <v>23948803</v>
      </c>
      <c r="I54" s="87"/>
      <c r="S54" s="72"/>
      <c r="U54" s="52"/>
    </row>
    <row r="55" spans="1:21" ht="15.75" customHeight="1">
      <c r="A55" s="130" t="s">
        <v>185</v>
      </c>
      <c r="B55" s="125"/>
      <c r="C55" s="85">
        <f>C56+C57</f>
        <v>3040394.0624300004</v>
      </c>
      <c r="D55" s="86">
        <v>5415332</v>
      </c>
      <c r="E55" s="37">
        <f>C57-D57</f>
        <v>-2374937.9375699996</v>
      </c>
      <c r="G55" s="38" t="e">
        <f>C57-#REF!</f>
        <v>#REF!</v>
      </c>
      <c r="I55" s="87"/>
      <c r="S55" s="72"/>
      <c r="U55" s="52"/>
    </row>
    <row r="56" spans="1:21" ht="15.75" customHeight="1">
      <c r="A56" s="130" t="s">
        <v>43</v>
      </c>
      <c r="B56" s="125"/>
      <c r="C56" s="85">
        <v>5415332</v>
      </c>
      <c r="D56" s="86"/>
      <c r="E56" s="37"/>
      <c r="G56" s="38"/>
      <c r="I56" s="87"/>
      <c r="J56" s="202"/>
      <c r="S56" s="72"/>
      <c r="U56" s="52"/>
    </row>
    <row r="57" spans="1:21" ht="15" customHeight="1">
      <c r="A57" s="130" t="s">
        <v>123</v>
      </c>
      <c r="B57" s="125"/>
      <c r="C57" s="85">
        <v>-2374937.9375699996</v>
      </c>
      <c r="D57" s="86"/>
      <c r="I57" s="87"/>
      <c r="S57" s="72"/>
      <c r="U57" s="52"/>
    </row>
    <row r="58" spans="1:21" ht="20.25" customHeight="1">
      <c r="A58" s="131" t="s">
        <v>309</v>
      </c>
      <c r="B58" s="125"/>
      <c r="C58" s="85">
        <v>278</v>
      </c>
      <c r="D58" s="85">
        <v>278</v>
      </c>
      <c r="I58" s="87"/>
      <c r="J58" s="202"/>
      <c r="S58" s="72"/>
      <c r="U58" s="52"/>
    </row>
    <row r="59" spans="1:21" ht="18.75" customHeight="1">
      <c r="A59" s="129" t="s">
        <v>86</v>
      </c>
      <c r="B59" s="126"/>
      <c r="C59" s="45">
        <f>C51+C52+C53+C54+C58+C55+0.7</f>
        <v>4294953.38272</v>
      </c>
      <c r="D59" s="45">
        <f>D51+D54+D55+D58</f>
        <v>6669891</v>
      </c>
      <c r="I59" s="87"/>
      <c r="J59" s="46">
        <f>J44+J55+J57</f>
        <v>0</v>
      </c>
      <c r="K59" s="52"/>
      <c r="S59" s="72"/>
      <c r="U59" s="52"/>
    </row>
    <row r="60" spans="1:21" ht="18.75" customHeight="1">
      <c r="A60" s="129" t="s">
        <v>72</v>
      </c>
      <c r="B60" s="44"/>
      <c r="C60" s="45">
        <f>C59+C49+C42+1</f>
        <v>8560355.042620001</v>
      </c>
      <c r="D60" s="45">
        <f>D59+D49+D42</f>
        <v>11077297</v>
      </c>
      <c r="I60" s="87"/>
      <c r="S60" s="72"/>
      <c r="U60" s="52"/>
    </row>
    <row r="61" spans="1:19" ht="12.75">
      <c r="A61" s="43"/>
      <c r="B61" s="44"/>
      <c r="C61" s="45"/>
      <c r="D61" s="45"/>
      <c r="E61" s="42"/>
      <c r="F61" s="25"/>
      <c r="G61" s="25"/>
      <c r="H61" s="25"/>
      <c r="I61" s="52"/>
      <c r="S61" s="52"/>
    </row>
    <row r="62" spans="1:10" s="28" customFormat="1" ht="12.75">
      <c r="A62" s="25"/>
      <c r="B62" s="25"/>
      <c r="C62" s="37">
        <f>C60-C32</f>
        <v>0.3813900016248226</v>
      </c>
      <c r="D62" s="45"/>
      <c r="E62" s="29"/>
      <c r="F62" s="30"/>
      <c r="G62" s="30"/>
      <c r="H62" s="30"/>
      <c r="J62" s="55"/>
    </row>
    <row r="63" spans="1:9" s="28" customFormat="1" ht="12.75">
      <c r="A63" s="103" t="s">
        <v>303</v>
      </c>
      <c r="B63" s="83"/>
      <c r="C63" s="302" t="s">
        <v>304</v>
      </c>
      <c r="D63" s="302"/>
      <c r="E63" s="29"/>
      <c r="F63" s="30"/>
      <c r="G63" s="30"/>
      <c r="H63" s="30"/>
      <c r="I63" s="55"/>
    </row>
    <row r="64" spans="1:8" s="28" customFormat="1" ht="12.75">
      <c r="A64" s="25"/>
      <c r="B64" s="83"/>
      <c r="C64" s="38"/>
      <c r="E64" s="29"/>
      <c r="F64" s="30"/>
      <c r="G64" s="30"/>
      <c r="H64" s="30"/>
    </row>
    <row r="65" spans="1:8" s="28" customFormat="1" ht="12.75">
      <c r="A65" s="103" t="s">
        <v>5</v>
      </c>
      <c r="B65" s="83"/>
      <c r="C65" s="302" t="s">
        <v>119</v>
      </c>
      <c r="D65" s="302"/>
      <c r="E65" s="29"/>
      <c r="F65" s="30"/>
      <c r="G65" s="30"/>
      <c r="H65" s="30"/>
    </row>
    <row r="66" spans="1:4" ht="12.75">
      <c r="A66" s="28"/>
      <c r="B66" s="28"/>
      <c r="C66" s="55"/>
      <c r="D66" s="28"/>
    </row>
    <row r="67" spans="3:4" ht="12.75">
      <c r="C67" s="52">
        <f>C60-C32</f>
        <v>0.3813900016248226</v>
      </c>
      <c r="D67" s="52">
        <f>D60-D32</f>
        <v>0</v>
      </c>
    </row>
    <row r="68" spans="1:8" ht="12.75">
      <c r="A68" s="40"/>
      <c r="B68" s="40"/>
      <c r="C68" s="287"/>
      <c r="D68" s="128"/>
      <c r="E68" s="40"/>
      <c r="F68" s="40"/>
      <c r="G68" s="40"/>
      <c r="H68" s="40"/>
    </row>
  </sheetData>
  <sheetProtection/>
  <mergeCells count="10">
    <mergeCell ref="C65:D65"/>
    <mergeCell ref="A8:A9"/>
    <mergeCell ref="B8:B9"/>
    <mergeCell ref="K13:Q13"/>
    <mergeCell ref="A5:D5"/>
    <mergeCell ref="A6:D6"/>
    <mergeCell ref="L14:M14"/>
    <mergeCell ref="N14:O14"/>
    <mergeCell ref="P14:Q14"/>
    <mergeCell ref="C63:D63"/>
  </mergeCells>
  <printOptions/>
  <pageMargins left="0.7874015748031497" right="0" top="0.33" bottom="0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61"/>
  <sheetViews>
    <sheetView zoomScalePageLayoutView="0" workbookViewId="0" topLeftCell="A12">
      <selection activeCell="D60" sqref="D60:I62"/>
    </sheetView>
  </sheetViews>
  <sheetFormatPr defaultColWidth="9.00390625" defaultRowHeight="12.75"/>
  <cols>
    <col min="1" max="1" width="1.00390625" style="0" customWidth="1"/>
    <col min="2" max="2" width="55.25390625" style="0" customWidth="1"/>
    <col min="3" max="3" width="7.125" style="0" customWidth="1"/>
    <col min="4" max="4" width="15.75390625" style="0" customWidth="1"/>
    <col min="5" max="6" width="15.625" style="0" hidden="1" customWidth="1"/>
    <col min="7" max="7" width="16.125" style="0" customWidth="1"/>
    <col min="9" max="9" width="10.75390625" style="0" bestFit="1" customWidth="1"/>
  </cols>
  <sheetData>
    <row r="1" spans="2:3" ht="12.75">
      <c r="B1" s="22" t="s">
        <v>4</v>
      </c>
      <c r="C1" s="22"/>
    </row>
    <row r="2" spans="2:3" ht="12.75">
      <c r="B2" s="22" t="s">
        <v>314</v>
      </c>
      <c r="C2" s="22"/>
    </row>
    <row r="3" spans="2:4" ht="30" customHeight="1">
      <c r="B3" s="314" t="s">
        <v>324</v>
      </c>
      <c r="C3" s="314"/>
      <c r="D3" s="41"/>
    </row>
    <row r="4" spans="2:7" ht="12.75">
      <c r="B4" s="54"/>
      <c r="C4" s="61"/>
      <c r="G4" s="31" t="s">
        <v>55</v>
      </c>
    </row>
    <row r="5" spans="2:7" ht="30" customHeight="1">
      <c r="B5" s="62" t="s">
        <v>150</v>
      </c>
      <c r="C5" s="63" t="s">
        <v>165</v>
      </c>
      <c r="D5" s="64" t="s">
        <v>325</v>
      </c>
      <c r="E5" s="64" t="s">
        <v>170</v>
      </c>
      <c r="F5" s="64" t="s">
        <v>175</v>
      </c>
      <c r="G5" s="64" t="s">
        <v>326</v>
      </c>
    </row>
    <row r="6" spans="2:9" ht="19.5" customHeight="1">
      <c r="B6" s="65" t="s">
        <v>179</v>
      </c>
      <c r="C6" s="75">
        <v>21</v>
      </c>
      <c r="D6" s="289">
        <v>13265.69971</v>
      </c>
      <c r="E6" s="79">
        <v>88478.82193</v>
      </c>
      <c r="F6" s="79">
        <f>D6-E6</f>
        <v>-75213.12222</v>
      </c>
      <c r="G6" s="79">
        <v>60462</v>
      </c>
      <c r="I6" s="53"/>
    </row>
    <row r="7" spans="2:9" ht="17.25" customHeight="1" hidden="1">
      <c r="B7" s="65" t="s">
        <v>151</v>
      </c>
      <c r="C7" s="75"/>
      <c r="D7" s="290"/>
      <c r="E7" s="80"/>
      <c r="F7" s="79">
        <f>D7-E7</f>
        <v>0</v>
      </c>
      <c r="G7" s="79">
        <f>2252+6</f>
        <v>2258</v>
      </c>
      <c r="I7" s="53"/>
    </row>
    <row r="8" spans="2:9" ht="18.75" customHeight="1" hidden="1">
      <c r="B8" s="68" t="s">
        <v>152</v>
      </c>
      <c r="C8" s="75"/>
      <c r="D8" s="290">
        <v>13265.69971</v>
      </c>
      <c r="E8" s="81">
        <f>E6-E7</f>
        <v>88478.82193</v>
      </c>
      <c r="F8" s="81">
        <f>F6-F7</f>
        <v>-75213.12222</v>
      </c>
      <c r="G8" s="79">
        <f>74+2912</f>
        <v>2986</v>
      </c>
      <c r="I8" s="53"/>
    </row>
    <row r="9" spans="2:9" ht="22.5" customHeight="1">
      <c r="B9" s="65" t="s">
        <v>164</v>
      </c>
      <c r="C9" s="75">
        <v>22</v>
      </c>
      <c r="D9" s="289">
        <v>186.17591000000002</v>
      </c>
      <c r="E9" s="79">
        <f>2252+6</f>
        <v>2258</v>
      </c>
      <c r="F9" s="79">
        <f aca="true" t="shared" si="0" ref="F9:F21">D9-E9</f>
        <v>-2071.82409</v>
      </c>
      <c r="G9" s="79">
        <v>147</v>
      </c>
      <c r="I9" s="53"/>
    </row>
    <row r="10" spans="2:9" ht="24.75" customHeight="1">
      <c r="B10" s="133" t="s">
        <v>311</v>
      </c>
      <c r="C10" s="75">
        <v>23</v>
      </c>
      <c r="D10" s="289"/>
      <c r="E10" s="79">
        <v>74</v>
      </c>
      <c r="F10" s="79">
        <f t="shared" si="0"/>
        <v>-74</v>
      </c>
      <c r="G10" s="79">
        <v>46762</v>
      </c>
      <c r="I10" s="53"/>
    </row>
    <row r="11" spans="2:9" ht="19.5" customHeight="1">
      <c r="B11" s="65" t="s">
        <v>300</v>
      </c>
      <c r="C11" s="75"/>
      <c r="D11" s="289">
        <v>30.2962</v>
      </c>
      <c r="E11" s="79">
        <v>16350</v>
      </c>
      <c r="F11" s="79">
        <f t="shared" si="0"/>
        <v>-16319.7038</v>
      </c>
      <c r="G11" s="79">
        <v>46051</v>
      </c>
      <c r="I11" s="53"/>
    </row>
    <row r="12" spans="2:9" ht="19.5" customHeight="1">
      <c r="B12" s="65" t="s">
        <v>153</v>
      </c>
      <c r="C12" s="75"/>
      <c r="D12" s="289">
        <v>7926.076960000001</v>
      </c>
      <c r="E12" s="79">
        <v>2912</v>
      </c>
      <c r="F12" s="79">
        <f t="shared" si="0"/>
        <v>5014.076960000001</v>
      </c>
      <c r="G12" s="79">
        <v>16535</v>
      </c>
      <c r="I12" s="53"/>
    </row>
    <row r="13" spans="2:9" ht="19.5" customHeight="1">
      <c r="B13" s="65" t="s">
        <v>154</v>
      </c>
      <c r="C13" s="75">
        <v>24</v>
      </c>
      <c r="D13" s="289">
        <v>6946.2366600000005</v>
      </c>
      <c r="E13" s="79">
        <f>14007+6611</f>
        <v>20618</v>
      </c>
      <c r="F13" s="79">
        <f t="shared" si="0"/>
        <v>-13671.76334</v>
      </c>
      <c r="G13" s="79">
        <v>-3908</v>
      </c>
      <c r="I13" s="53"/>
    </row>
    <row r="14" spans="2:9" ht="19.5" customHeight="1">
      <c r="B14" s="132" t="s">
        <v>176</v>
      </c>
      <c r="C14" s="75"/>
      <c r="D14" s="291">
        <f>D6+D9+D10+D11+D13+D12-0.5</f>
        <v>28353.985440000004</v>
      </c>
      <c r="E14" s="98">
        <f>SUM(E6:E13)</f>
        <v>219169.64386</v>
      </c>
      <c r="F14" s="98">
        <f>SUM(F6:F13)</f>
        <v>-177549.45871</v>
      </c>
      <c r="G14" s="98">
        <f>G6+G9+G10+G11+G13+G12+1</f>
        <v>166050</v>
      </c>
      <c r="I14" s="53"/>
    </row>
    <row r="15" spans="2:9" ht="19.5" customHeight="1">
      <c r="B15" s="65" t="s">
        <v>155</v>
      </c>
      <c r="C15" s="75"/>
      <c r="D15" s="289">
        <v>12.413200000000002</v>
      </c>
      <c r="E15" s="79">
        <v>140</v>
      </c>
      <c r="F15" s="79">
        <f t="shared" si="0"/>
        <v>-127.5868</v>
      </c>
      <c r="G15" s="79"/>
      <c r="I15" s="53"/>
    </row>
    <row r="16" spans="2:9" ht="19.5" customHeight="1">
      <c r="B16" s="65" t="s">
        <v>156</v>
      </c>
      <c r="C16" s="75">
        <v>26</v>
      </c>
      <c r="D16" s="289">
        <v>22370.321100000005</v>
      </c>
      <c r="E16" s="79">
        <v>61133</v>
      </c>
      <c r="F16" s="79">
        <f t="shared" si="0"/>
        <v>-38762.6789</v>
      </c>
      <c r="G16" s="79">
        <v>46038</v>
      </c>
      <c r="I16" s="53"/>
    </row>
    <row r="17" spans="2:9" ht="19.5" customHeight="1">
      <c r="B17" s="65" t="s">
        <v>157</v>
      </c>
      <c r="C17" s="75">
        <v>25</v>
      </c>
      <c r="D17" s="289">
        <v>71430.34165999999</v>
      </c>
      <c r="E17" s="79">
        <v>54972</v>
      </c>
      <c r="F17" s="79">
        <f t="shared" si="0"/>
        <v>16458.34165999999</v>
      </c>
      <c r="G17" s="79">
        <v>92069</v>
      </c>
      <c r="I17" s="53"/>
    </row>
    <row r="18" spans="2:9" ht="19.5" customHeight="1">
      <c r="B18" s="65" t="s">
        <v>178</v>
      </c>
      <c r="C18" s="75"/>
      <c r="D18" s="289">
        <v>-6330.61678</v>
      </c>
      <c r="E18" s="79">
        <f>85-19</f>
        <v>66</v>
      </c>
      <c r="F18" s="79">
        <f t="shared" si="0"/>
        <v>-6396.61678</v>
      </c>
      <c r="G18" s="79"/>
      <c r="I18" s="53"/>
    </row>
    <row r="19" spans="2:9" ht="24.75" customHeight="1">
      <c r="B19" s="133" t="s">
        <v>312</v>
      </c>
      <c r="C19" s="66"/>
      <c r="D19" s="289">
        <v>0.15564000000000533</v>
      </c>
      <c r="E19" s="79">
        <v>3678</v>
      </c>
      <c r="F19" s="79">
        <f t="shared" si="0"/>
        <v>-3677.84436</v>
      </c>
      <c r="G19" s="79">
        <v>190420</v>
      </c>
      <c r="I19" s="53"/>
    </row>
    <row r="20" spans="2:9" ht="19.5" customHeight="1">
      <c r="B20" s="65" t="s">
        <v>299</v>
      </c>
      <c r="C20" s="66"/>
      <c r="D20" s="289"/>
      <c r="E20" s="79">
        <v>20711</v>
      </c>
      <c r="F20" s="79">
        <f t="shared" si="0"/>
        <v>-20711</v>
      </c>
      <c r="G20" s="79">
        <v>70179</v>
      </c>
      <c r="I20" s="53"/>
    </row>
    <row r="21" spans="2:9" ht="19.5" customHeight="1">
      <c r="B21" s="65" t="s">
        <v>158</v>
      </c>
      <c r="C21" s="75">
        <v>27</v>
      </c>
      <c r="D21" s="289">
        <v>2315300.9133200003</v>
      </c>
      <c r="E21" s="69">
        <f>19047-47-697</f>
        <v>18303</v>
      </c>
      <c r="F21" s="96">
        <f t="shared" si="0"/>
        <v>2296997.9133200003</v>
      </c>
      <c r="G21" s="79">
        <f>20532</f>
        <v>20532</v>
      </c>
      <c r="I21" s="53"/>
    </row>
    <row r="22" spans="2:9" ht="19.5" customHeight="1">
      <c r="B22" s="132" t="s">
        <v>177</v>
      </c>
      <c r="C22" s="66"/>
      <c r="D22" s="291">
        <f>D15+D16+D17+D18+D19+D20+D21-1.8</f>
        <v>2402781.7281400003</v>
      </c>
      <c r="E22" s="134"/>
      <c r="F22" s="96"/>
      <c r="G22" s="98">
        <f>G15+G16+G17+G18+G19+G20+G21</f>
        <v>419238</v>
      </c>
      <c r="I22" s="53"/>
    </row>
    <row r="23" spans="2:9" ht="19.5" customHeight="1">
      <c r="B23" s="68" t="s">
        <v>159</v>
      </c>
      <c r="C23" s="66"/>
      <c r="D23" s="292">
        <f>D14-D22</f>
        <v>-2374427.7427000003</v>
      </c>
      <c r="E23" s="70">
        <f>E8+E9+E10+E11+E12+E13-E15-E16-E17-E18-E19-E21-E20</f>
        <v>-28312.178069999994</v>
      </c>
      <c r="F23" s="96">
        <f>F8+F9+F10+F11+F12+F13-F15-F16-F17-F18-F19-F20-F21</f>
        <v>-2346116.86463</v>
      </c>
      <c r="G23" s="74">
        <f>G14-G22</f>
        <v>-253188</v>
      </c>
      <c r="I23" s="53"/>
    </row>
    <row r="24" spans="2:7" ht="19.5" customHeight="1">
      <c r="B24" s="65" t="s">
        <v>295</v>
      </c>
      <c r="C24" s="66"/>
      <c r="D24" s="293"/>
      <c r="E24" s="67"/>
      <c r="F24" s="67"/>
      <c r="G24" s="58"/>
    </row>
    <row r="25" spans="2:7" ht="19.5" customHeight="1">
      <c r="B25" s="68" t="s">
        <v>160</v>
      </c>
      <c r="C25" s="66"/>
      <c r="D25" s="292">
        <f>D23+D24</f>
        <v>-2374427.7427000003</v>
      </c>
      <c r="E25" s="70">
        <f>E23</f>
        <v>-28312.178069999994</v>
      </c>
      <c r="F25" s="96">
        <f>F23</f>
        <v>-2346116.86463</v>
      </c>
      <c r="G25" s="74">
        <f>G23+G24</f>
        <v>-253188</v>
      </c>
    </row>
    <row r="26" spans="2:9" ht="19.5" customHeight="1">
      <c r="B26" s="65" t="s">
        <v>161</v>
      </c>
      <c r="C26" s="66"/>
      <c r="D26" s="294">
        <v>510.03049</v>
      </c>
      <c r="E26" s="67"/>
      <c r="F26" s="67"/>
      <c r="G26" s="58"/>
      <c r="I26" s="53"/>
    </row>
    <row r="27" spans="2:9" ht="18.75" customHeight="1">
      <c r="B27" s="68" t="s">
        <v>162</v>
      </c>
      <c r="C27" s="66"/>
      <c r="D27" s="292">
        <f>D25-D26</f>
        <v>-2374937.77319</v>
      </c>
      <c r="E27" s="70">
        <f>E25</f>
        <v>-28312.178069999994</v>
      </c>
      <c r="F27" s="96">
        <f>F25</f>
        <v>-2346116.86463</v>
      </c>
      <c r="G27" s="74">
        <f>G25+G26</f>
        <v>-253188</v>
      </c>
      <c r="I27" s="53"/>
    </row>
    <row r="28" spans="2:7" ht="19.5" customHeight="1">
      <c r="B28" s="65" t="s">
        <v>166</v>
      </c>
      <c r="C28" s="66"/>
      <c r="D28" s="295"/>
      <c r="E28" s="97">
        <v>20633</v>
      </c>
      <c r="F28" s="79">
        <f>D28-E28</f>
        <v>-20633</v>
      </c>
      <c r="G28" s="97">
        <v>-8614</v>
      </c>
    </row>
    <row r="29" spans="2:7" ht="19.5" customHeight="1">
      <c r="B29" s="68" t="s">
        <v>163</v>
      </c>
      <c r="C29" s="66"/>
      <c r="D29" s="292">
        <f>D27-D28</f>
        <v>-2374937.77319</v>
      </c>
      <c r="E29" s="70">
        <f>E27-E28</f>
        <v>-48945.178069999994</v>
      </c>
      <c r="F29" s="96">
        <f>F27-F28</f>
        <v>-2325483.86463</v>
      </c>
      <c r="G29" s="74">
        <f>G27-G28+1</f>
        <v>-244573</v>
      </c>
    </row>
    <row r="30" spans="2:4" ht="19.5" customHeight="1" hidden="1">
      <c r="B30" s="68"/>
      <c r="C30" s="66"/>
      <c r="D30" s="71"/>
    </row>
    <row r="31" spans="2:3" ht="12.75" hidden="1">
      <c r="B31" s="54"/>
      <c r="C31" s="54"/>
    </row>
    <row r="32" spans="2:7" ht="12.75" hidden="1">
      <c r="B32" s="77" t="s">
        <v>87</v>
      </c>
      <c r="C32" s="83"/>
      <c r="D32" s="302" t="s">
        <v>118</v>
      </c>
      <c r="E32" s="302"/>
      <c r="F32" s="302"/>
      <c r="G32" s="302"/>
    </row>
    <row r="33" spans="2:4" ht="12.75" hidden="1">
      <c r="B33" s="25"/>
      <c r="C33" s="83"/>
      <c r="D33" s="38"/>
    </row>
    <row r="34" spans="2:7" ht="12.75" hidden="1">
      <c r="B34" s="77" t="s">
        <v>5</v>
      </c>
      <c r="C34" s="83"/>
      <c r="D34" s="302" t="s">
        <v>119</v>
      </c>
      <c r="E34" s="302"/>
      <c r="F34" s="302"/>
      <c r="G34" s="302"/>
    </row>
    <row r="35" ht="12.75" hidden="1">
      <c r="I35" s="53"/>
    </row>
    <row r="36" ht="12.75" hidden="1"/>
    <row r="37" ht="12.75" hidden="1"/>
    <row r="38" ht="15.75" customHeight="1" hidden="1">
      <c r="D38" s="89"/>
    </row>
    <row r="39" spans="2:4" ht="12.75" customHeight="1" hidden="1">
      <c r="B39" s="315" t="s">
        <v>46</v>
      </c>
      <c r="C39" s="315"/>
      <c r="D39" s="315"/>
    </row>
    <row r="40" spans="2:4" ht="12.75" customHeight="1" hidden="1">
      <c r="B40" s="89" t="s">
        <v>292</v>
      </c>
      <c r="C40" s="89"/>
      <c r="D40" s="89"/>
    </row>
    <row r="41" spans="2:7" ht="13.5" customHeight="1" hidden="1">
      <c r="B41" s="91"/>
      <c r="C41" s="90" t="s">
        <v>47</v>
      </c>
      <c r="D41" s="91" t="s">
        <v>293</v>
      </c>
      <c r="G41" s="91" t="s">
        <v>294</v>
      </c>
    </row>
    <row r="42" spans="2:7" ht="9.75" customHeight="1" hidden="1">
      <c r="B42" s="92" t="s">
        <v>48</v>
      </c>
      <c r="C42" s="93"/>
      <c r="D42" s="88">
        <f>D27</f>
        <v>-2374937.77319</v>
      </c>
      <c r="G42" s="97">
        <f>G27</f>
        <v>-253188</v>
      </c>
    </row>
    <row r="43" spans="2:4" ht="9.75" customHeight="1" hidden="1">
      <c r="B43" s="94" t="s">
        <v>49</v>
      </c>
      <c r="C43" s="93"/>
      <c r="D43" s="88"/>
    </row>
    <row r="44" spans="2:4" ht="9.75" customHeight="1" hidden="1">
      <c r="B44" s="94" t="s">
        <v>50</v>
      </c>
      <c r="C44" s="93"/>
      <c r="D44" s="88"/>
    </row>
    <row r="45" spans="2:4" ht="9.75" customHeight="1" hidden="1">
      <c r="B45" s="94" t="s">
        <v>51</v>
      </c>
      <c r="C45" s="93"/>
      <c r="D45" s="88"/>
    </row>
    <row r="46" spans="2:4" ht="9.75" customHeight="1" hidden="1">
      <c r="B46" s="93" t="s">
        <v>52</v>
      </c>
      <c r="C46" s="93"/>
      <c r="D46" s="88"/>
    </row>
    <row r="47" spans="2:7" ht="19.5" customHeight="1" hidden="1">
      <c r="B47" s="95" t="s">
        <v>296</v>
      </c>
      <c r="C47" s="92"/>
      <c r="D47" s="96"/>
      <c r="G47" s="97"/>
    </row>
    <row r="48" spans="2:9" ht="19.5" customHeight="1" hidden="1">
      <c r="B48" s="95" t="s">
        <v>297</v>
      </c>
      <c r="C48" s="92"/>
      <c r="D48" s="96">
        <f>D42+D47+D43</f>
        <v>-2374937.77319</v>
      </c>
      <c r="E48" s="53"/>
      <c r="F48" s="53"/>
      <c r="G48" s="97"/>
      <c r="I48" s="138"/>
    </row>
    <row r="49" spans="2:7" ht="19.5" customHeight="1" hidden="1">
      <c r="B49" s="94" t="s">
        <v>53</v>
      </c>
      <c r="C49" s="93"/>
      <c r="D49" s="97"/>
      <c r="E49" s="53"/>
      <c r="F49" s="53"/>
      <c r="G49" s="97"/>
    </row>
    <row r="50" spans="2:7" ht="19.5" customHeight="1" hidden="1">
      <c r="B50" s="94" t="s">
        <v>180</v>
      </c>
      <c r="C50" s="93"/>
      <c r="D50" s="97">
        <f>D48-D49</f>
        <v>-2374937.77319</v>
      </c>
      <c r="G50" s="97"/>
    </row>
    <row r="55" spans="2:7" ht="12.75">
      <c r="B55" s="103" t="s">
        <v>303</v>
      </c>
      <c r="C55" s="83"/>
      <c r="E55" s="78"/>
      <c r="G55" s="201" t="s">
        <v>304</v>
      </c>
    </row>
    <row r="56" spans="2:7" ht="12.75">
      <c r="B56" s="103"/>
      <c r="C56" s="83"/>
      <c r="E56" s="78"/>
      <c r="G56" s="201"/>
    </row>
    <row r="57" spans="2:7" ht="12.75">
      <c r="B57" s="103" t="s">
        <v>5</v>
      </c>
      <c r="C57" s="83"/>
      <c r="G57" s="201" t="s">
        <v>119</v>
      </c>
    </row>
    <row r="61" spans="4:9" ht="12.75">
      <c r="D61" s="288"/>
      <c r="I61" s="53"/>
    </row>
  </sheetData>
  <sheetProtection/>
  <mergeCells count="4">
    <mergeCell ref="B3:C3"/>
    <mergeCell ref="B39:D39"/>
    <mergeCell ref="D32:G32"/>
    <mergeCell ref="D34:G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205"/>
  <sheetViews>
    <sheetView zoomScalePageLayoutView="0" workbookViewId="0" topLeftCell="A10">
      <selection activeCell="B49" sqref="B49"/>
    </sheetView>
  </sheetViews>
  <sheetFormatPr defaultColWidth="9.00390625" defaultRowHeight="12.75"/>
  <cols>
    <col min="1" max="1" width="4.625" style="17" customWidth="1"/>
    <col min="2" max="2" width="54.125" style="17" customWidth="1"/>
    <col min="3" max="3" width="19.375" style="17" customWidth="1"/>
    <col min="4" max="4" width="5.125" style="17" customWidth="1"/>
    <col min="5" max="5" width="22.375" style="17" hidden="1" customWidth="1"/>
    <col min="6" max="6" width="9.00390625" style="17" customWidth="1"/>
    <col min="7" max="7" width="13.625" style="17" customWidth="1"/>
    <col min="8" max="16384" width="9.125" style="17" customWidth="1"/>
  </cols>
  <sheetData>
    <row r="1" ht="29.25" customHeight="1">
      <c r="B1" s="22" t="s">
        <v>191</v>
      </c>
    </row>
    <row r="2" spans="2:5" ht="15.75">
      <c r="B2" s="319" t="s">
        <v>192</v>
      </c>
      <c r="C2" s="319"/>
      <c r="D2" s="319"/>
      <c r="E2" s="319"/>
    </row>
    <row r="3" spans="2:5" ht="12.75">
      <c r="B3" s="144"/>
      <c r="C3" s="145" t="s">
        <v>306</v>
      </c>
      <c r="D3" s="145"/>
      <c r="E3" s="145" t="s">
        <v>193</v>
      </c>
    </row>
    <row r="4" spans="2:5" ht="13.5" thickBot="1">
      <c r="B4" s="144"/>
      <c r="C4" s="146" t="s">
        <v>194</v>
      </c>
      <c r="D4" s="145"/>
      <c r="E4" s="146" t="s">
        <v>194</v>
      </c>
    </row>
    <row r="5" spans="2:5" ht="12.75">
      <c r="B5" s="144"/>
      <c r="C5" s="147"/>
      <c r="D5" s="145"/>
      <c r="E5" s="147"/>
    </row>
    <row r="6" spans="2:5" ht="12.75">
      <c r="B6" s="148" t="s">
        <v>195</v>
      </c>
      <c r="C6" s="149"/>
      <c r="D6" s="148"/>
      <c r="E6" s="149"/>
    </row>
    <row r="7" spans="2:5" ht="12.75">
      <c r="B7" s="148" t="s">
        <v>196</v>
      </c>
      <c r="C7" s="149"/>
      <c r="D7" s="148"/>
      <c r="E7" s="149"/>
    </row>
    <row r="8" spans="2:5" ht="12.75">
      <c r="B8" s="148" t="s">
        <v>197</v>
      </c>
      <c r="C8" s="149"/>
      <c r="D8" s="148"/>
      <c r="E8" s="149"/>
    </row>
    <row r="9" spans="2:5" ht="12.75">
      <c r="B9" s="148" t="s">
        <v>198</v>
      </c>
      <c r="C9" s="149"/>
      <c r="D9" s="148"/>
      <c r="E9" s="149"/>
    </row>
    <row r="10" spans="2:5" ht="25.5">
      <c r="B10" s="148" t="s">
        <v>199</v>
      </c>
      <c r="C10" s="149"/>
      <c r="D10" s="148"/>
      <c r="E10" s="149"/>
    </row>
    <row r="11" spans="2:5" ht="12.75">
      <c r="B11" s="148" t="s">
        <v>200</v>
      </c>
      <c r="C11" s="149"/>
      <c r="D11" s="148"/>
      <c r="E11" s="149"/>
    </row>
    <row r="12" spans="2:5" ht="13.5" thickBot="1">
      <c r="B12" s="148" t="s">
        <v>201</v>
      </c>
      <c r="C12" s="149"/>
      <c r="D12" s="148"/>
      <c r="E12" s="149"/>
    </row>
    <row r="13" spans="2:5" ht="15" customHeight="1" thickBot="1">
      <c r="B13" s="148"/>
      <c r="C13" s="150">
        <f>SUM(C6:C12)</f>
        <v>0</v>
      </c>
      <c r="D13" s="151"/>
      <c r="E13" s="150">
        <f>SUM(E6:E12)</f>
        <v>0</v>
      </c>
    </row>
    <row r="14" spans="2:5" ht="13.5" thickTop="1">
      <c r="B14" s="148"/>
      <c r="C14" s="152"/>
      <c r="D14" s="151"/>
      <c r="E14" s="152"/>
    </row>
    <row r="15" spans="2:5" ht="15.75">
      <c r="B15" s="319" t="s">
        <v>202</v>
      </c>
      <c r="C15" s="319" t="s">
        <v>203</v>
      </c>
      <c r="D15" s="319"/>
      <c r="E15" s="319" t="s">
        <v>204</v>
      </c>
    </row>
    <row r="16" spans="2:5" ht="15.75">
      <c r="B16" s="143"/>
      <c r="C16" s="145" t="str">
        <f>C3</f>
        <v>6 мес 2014</v>
      </c>
      <c r="D16" s="145"/>
      <c r="E16" s="145" t="str">
        <f>E3</f>
        <v>9 мес 2011</v>
      </c>
    </row>
    <row r="17" spans="2:5" ht="13.5" thickBot="1">
      <c r="B17" s="153"/>
      <c r="C17" s="146" t="s">
        <v>194</v>
      </c>
      <c r="D17" s="145"/>
      <c r="E17" s="146" t="s">
        <v>194</v>
      </c>
    </row>
    <row r="18" spans="2:6" ht="12.75">
      <c r="B18" s="154" t="s">
        <v>205</v>
      </c>
      <c r="C18" s="155"/>
      <c r="D18" s="156"/>
      <c r="E18" s="155"/>
      <c r="F18" s="155"/>
    </row>
    <row r="19" spans="2:6" ht="12.75">
      <c r="B19" s="154" t="s">
        <v>206</v>
      </c>
      <c r="C19" s="155"/>
      <c r="D19" s="156"/>
      <c r="E19" s="155"/>
      <c r="F19" s="155"/>
    </row>
    <row r="20" spans="2:6" ht="12.75">
      <c r="B20" s="154" t="s">
        <v>207</v>
      </c>
      <c r="C20" s="155"/>
      <c r="D20" s="156"/>
      <c r="E20" s="155"/>
      <c r="F20" s="155"/>
    </row>
    <row r="21" spans="2:6" ht="12.75">
      <c r="B21" s="154" t="s">
        <v>208</v>
      </c>
      <c r="C21" s="155"/>
      <c r="D21" s="156"/>
      <c r="E21" s="155"/>
      <c r="F21" s="155"/>
    </row>
    <row r="22" spans="2:6" ht="12.75">
      <c r="B22" s="154" t="s">
        <v>209</v>
      </c>
      <c r="C22" s="155"/>
      <c r="D22" s="156"/>
      <c r="E22" s="155"/>
      <c r="F22" s="155"/>
    </row>
    <row r="23" spans="2:6" ht="12.75">
      <c r="B23" s="154" t="s">
        <v>210</v>
      </c>
      <c r="C23" s="155"/>
      <c r="D23" s="156"/>
      <c r="E23" s="155"/>
      <c r="F23" s="155"/>
    </row>
    <row r="24" spans="2:6" ht="12.75">
      <c r="B24" s="157" t="s">
        <v>211</v>
      </c>
      <c r="C24" s="155"/>
      <c r="D24" s="156"/>
      <c r="E24" s="155"/>
      <c r="F24" s="155"/>
    </row>
    <row r="25" spans="2:7" ht="12.75">
      <c r="B25" s="157" t="s">
        <v>212</v>
      </c>
      <c r="C25" s="155">
        <f>опу1!D6</f>
        <v>13265.69971</v>
      </c>
      <c r="D25" s="156"/>
      <c r="E25" s="155">
        <f>'[1]опу1'!G8</f>
        <v>284373</v>
      </c>
      <c r="F25" s="155"/>
      <c r="G25" s="158"/>
    </row>
    <row r="26" spans="2:7" ht="9" customHeight="1" thickBot="1">
      <c r="B26" s="154" t="s">
        <v>213</v>
      </c>
      <c r="C26" s="149"/>
      <c r="D26" s="148"/>
      <c r="E26" s="149"/>
      <c r="F26" s="149"/>
      <c r="G26" s="158"/>
    </row>
    <row r="27" spans="2:7" ht="13.5" thickBot="1">
      <c r="B27" s="154"/>
      <c r="C27" s="150">
        <f>SUM(C18:C25)</f>
        <v>13265.69971</v>
      </c>
      <c r="D27" s="151"/>
      <c r="E27" s="150">
        <f>SUM(E18:E25)</f>
        <v>284373</v>
      </c>
      <c r="G27" s="158"/>
    </row>
    <row r="28" spans="2:7" ht="13.5" thickTop="1">
      <c r="B28" s="154"/>
      <c r="C28" s="159"/>
      <c r="D28" s="156"/>
      <c r="E28" s="159"/>
      <c r="G28" s="158"/>
    </row>
    <row r="29" spans="2:7" ht="12.75">
      <c r="B29" s="160"/>
      <c r="C29" s="159"/>
      <c r="D29" s="156"/>
      <c r="E29" s="159"/>
      <c r="G29" s="158"/>
    </row>
    <row r="30" ht="12.75">
      <c r="G30" s="158"/>
    </row>
    <row r="31" spans="2:7" ht="15.75">
      <c r="B31" s="319" t="s">
        <v>214</v>
      </c>
      <c r="C31" s="319"/>
      <c r="D31" s="319"/>
      <c r="E31" s="319"/>
      <c r="G31" s="158"/>
    </row>
    <row r="32" spans="2:7" ht="12.75">
      <c r="B32" s="144"/>
      <c r="C32" s="145" t="str">
        <f>C16</f>
        <v>6 мес 2014</v>
      </c>
      <c r="D32" s="145"/>
      <c r="E32" s="145" t="str">
        <f>E16</f>
        <v>9 мес 2011</v>
      </c>
      <c r="G32" s="158"/>
    </row>
    <row r="33" spans="2:7" ht="13.5" thickBot="1">
      <c r="B33" s="148"/>
      <c r="C33" s="161" t="s">
        <v>194</v>
      </c>
      <c r="D33" s="89"/>
      <c r="E33" s="161" t="s">
        <v>194</v>
      </c>
      <c r="G33" s="158"/>
    </row>
    <row r="34" spans="2:7" ht="12.75">
      <c r="B34" s="151"/>
      <c r="C34" s="148"/>
      <c r="D34" s="162"/>
      <c r="E34" s="148"/>
      <c r="G34" s="158"/>
    </row>
    <row r="35" spans="2:7" ht="12.75">
      <c r="B35" s="148" t="s">
        <v>285</v>
      </c>
      <c r="C35" s="149">
        <v>542</v>
      </c>
      <c r="D35" s="162"/>
      <c r="E35" s="149"/>
      <c r="F35" s="149"/>
      <c r="G35" s="158"/>
    </row>
    <row r="36" spans="2:7" ht="12.75">
      <c r="B36" s="148" t="s">
        <v>189</v>
      </c>
      <c r="C36" s="149"/>
      <c r="D36" s="162"/>
      <c r="E36" s="149"/>
      <c r="F36" s="149"/>
      <c r="G36" s="158"/>
    </row>
    <row r="37" spans="2:7" ht="12.75">
      <c r="B37" s="148" t="s">
        <v>215</v>
      </c>
      <c r="C37" s="155"/>
      <c r="D37" s="155"/>
      <c r="E37" s="155">
        <f>'[1]опу1'!G11</f>
        <v>8021</v>
      </c>
      <c r="F37" s="149"/>
      <c r="G37" s="158"/>
    </row>
    <row r="38" spans="2:7" ht="12.75">
      <c r="B38" s="148" t="s">
        <v>216</v>
      </c>
      <c r="C38" s="155"/>
      <c r="D38" s="155"/>
      <c r="E38" s="155"/>
      <c r="F38" s="149"/>
      <c r="G38" s="158"/>
    </row>
    <row r="39" spans="3:7" ht="13.5" thickBot="1">
      <c r="C39" s="149"/>
      <c r="D39" s="148"/>
      <c r="E39" s="149"/>
      <c r="G39" s="158"/>
    </row>
    <row r="40" spans="2:7" ht="13.5" thickBot="1">
      <c r="B40" s="148"/>
      <c r="C40" s="150">
        <f>SUM(C31:C38)</f>
        <v>542</v>
      </c>
      <c r="D40" s="151"/>
      <c r="E40" s="150">
        <f>SUM(E31:E38)</f>
        <v>8021</v>
      </c>
      <c r="G40" s="158"/>
    </row>
    <row r="41" spans="3:7" ht="13.5" thickTop="1">
      <c r="C41" s="163"/>
      <c r="E41" s="158"/>
      <c r="G41" s="158"/>
    </row>
    <row r="42" spans="3:7" ht="12.75">
      <c r="C42" s="163"/>
      <c r="G42" s="158"/>
    </row>
    <row r="43" spans="2:7" ht="15.75">
      <c r="B43" s="319" t="s">
        <v>217</v>
      </c>
      <c r="C43" s="319"/>
      <c r="D43" s="319"/>
      <c r="E43" s="319"/>
      <c r="G43" s="158"/>
    </row>
    <row r="44" spans="2:7" ht="18.75">
      <c r="B44" s="164"/>
      <c r="G44" s="158"/>
    </row>
    <row r="45" spans="2:7" ht="12.75">
      <c r="B45" s="144"/>
      <c r="C45" s="145" t="str">
        <f>C32</f>
        <v>6 мес 2014</v>
      </c>
      <c r="D45" s="145"/>
      <c r="E45" s="145" t="str">
        <f>E32</f>
        <v>9 мес 2011</v>
      </c>
      <c r="G45" s="158"/>
    </row>
    <row r="46" spans="2:7" ht="13.5" thickBot="1">
      <c r="B46" s="144"/>
      <c r="C46" s="161" t="s">
        <v>194</v>
      </c>
      <c r="D46" s="89"/>
      <c r="E46" s="161" t="s">
        <v>194</v>
      </c>
      <c r="G46" s="158"/>
    </row>
    <row r="47" spans="2:7" ht="25.5">
      <c r="B47" s="148" t="s">
        <v>218</v>
      </c>
      <c r="C47" s="165"/>
      <c r="D47" s="166"/>
      <c r="E47" s="155"/>
      <c r="F47" s="165"/>
      <c r="G47" s="165"/>
    </row>
    <row r="48" spans="2:7" ht="12.75">
      <c r="B48" s="148" t="s">
        <v>219</v>
      </c>
      <c r="C48" s="165"/>
      <c r="D48" s="166"/>
      <c r="E48" s="155"/>
      <c r="F48" s="165"/>
      <c r="G48" s="165"/>
    </row>
    <row r="49" spans="2:7" ht="25.5">
      <c r="B49" s="148" t="s">
        <v>220</v>
      </c>
      <c r="C49" s="165"/>
      <c r="D49" s="166"/>
      <c r="E49" s="155"/>
      <c r="F49" s="165"/>
      <c r="G49" s="165"/>
    </row>
    <row r="50" spans="2:7" ht="12.75">
      <c r="B50" s="148" t="s">
        <v>221</v>
      </c>
      <c r="C50" s="165"/>
      <c r="D50" s="166"/>
      <c r="E50" s="155"/>
      <c r="F50" s="165"/>
      <c r="G50" s="165"/>
    </row>
    <row r="51" spans="2:7" ht="12.75">
      <c r="B51" s="148" t="s">
        <v>222</v>
      </c>
      <c r="C51" s="165"/>
      <c r="D51" s="166"/>
      <c r="E51" s="155"/>
      <c r="F51" s="165"/>
      <c r="G51" s="165"/>
    </row>
    <row r="52" spans="2:7" ht="26.25" thickBot="1">
      <c r="B52" s="148" t="s">
        <v>223</v>
      </c>
      <c r="C52" s="165"/>
      <c r="D52" s="149"/>
      <c r="E52" s="155"/>
      <c r="F52" s="165"/>
      <c r="G52" s="165"/>
    </row>
    <row r="53" spans="2:7" ht="13.5" thickBot="1">
      <c r="B53" s="148"/>
      <c r="C53" s="167"/>
      <c r="D53" s="149"/>
      <c r="E53" s="167"/>
      <c r="G53" s="167"/>
    </row>
    <row r="54" spans="2:7" ht="27" thickBot="1" thickTop="1">
      <c r="B54" s="148" t="s">
        <v>224</v>
      </c>
      <c r="C54" s="167">
        <f>SUM(C47:C53)</f>
        <v>0</v>
      </c>
      <c r="D54" s="149"/>
      <c r="E54" s="167"/>
      <c r="G54" s="167">
        <f>SUM(G47:G53)</f>
        <v>0</v>
      </c>
    </row>
    <row r="55" spans="3:7" ht="13.5" thickTop="1">
      <c r="C55" s="163"/>
      <c r="E55" s="158"/>
      <c r="G55" s="158"/>
    </row>
    <row r="56" spans="2:7" ht="12.75">
      <c r="B56" s="168" t="s">
        <v>225</v>
      </c>
      <c r="G56" s="158"/>
    </row>
    <row r="57" spans="2:7" ht="12.75">
      <c r="B57" s="169"/>
      <c r="G57" s="158"/>
    </row>
    <row r="58" ht="12.75">
      <c r="G58" s="158"/>
    </row>
    <row r="59" spans="2:7" ht="15.75">
      <c r="B59" s="319" t="s">
        <v>226</v>
      </c>
      <c r="C59" s="319"/>
      <c r="D59" s="319"/>
      <c r="E59" s="319"/>
      <c r="G59" s="158"/>
    </row>
    <row r="60" spans="3:7" ht="12.75">
      <c r="C60" s="145" t="str">
        <f>C45</f>
        <v>6 мес 2014</v>
      </c>
      <c r="D60" s="145"/>
      <c r="E60" s="145" t="str">
        <f>E45</f>
        <v>9 мес 2011</v>
      </c>
      <c r="G60" s="158"/>
    </row>
    <row r="61" spans="3:7" ht="13.5" thickBot="1">
      <c r="C61" s="161" t="s">
        <v>194</v>
      </c>
      <c r="D61" s="89"/>
      <c r="E61" s="161" t="s">
        <v>194</v>
      </c>
      <c r="G61" s="158"/>
    </row>
    <row r="62" spans="2:7" ht="12.75">
      <c r="B62" s="154" t="s">
        <v>227</v>
      </c>
      <c r="C62" s="170"/>
      <c r="D62" s="171"/>
      <c r="E62" s="170"/>
      <c r="G62" s="158"/>
    </row>
    <row r="63" spans="2:7" ht="12.75">
      <c r="B63" s="154" t="s">
        <v>228</v>
      </c>
      <c r="C63" s="170"/>
      <c r="D63" s="172"/>
      <c r="E63" s="170"/>
      <c r="G63" s="158"/>
    </row>
    <row r="64" spans="2:7" ht="12.75">
      <c r="B64" s="154" t="s">
        <v>229</v>
      </c>
      <c r="C64" s="170"/>
      <c r="D64" s="173"/>
      <c r="E64" s="170"/>
      <c r="G64" s="158"/>
    </row>
    <row r="65" spans="2:7" ht="12.75">
      <c r="B65" s="154" t="s">
        <v>230</v>
      </c>
      <c r="C65" s="170"/>
      <c r="D65" s="173"/>
      <c r="E65" s="170"/>
      <c r="G65" s="158"/>
    </row>
    <row r="66" spans="2:7" ht="12.75">
      <c r="B66" s="154" t="s">
        <v>231</v>
      </c>
      <c r="C66" s="170"/>
      <c r="D66" s="173"/>
      <c r="E66" s="170"/>
      <c r="G66" s="158"/>
    </row>
    <row r="67" spans="2:7" ht="12.75">
      <c r="B67" s="154" t="s">
        <v>232</v>
      </c>
      <c r="C67" s="170"/>
      <c r="D67" s="173"/>
      <c r="E67" s="170"/>
      <c r="G67" s="158"/>
    </row>
    <row r="68" spans="2:7" ht="12.75">
      <c r="B68" s="154" t="s">
        <v>233</v>
      </c>
      <c r="C68" s="174"/>
      <c r="D68" s="172"/>
      <c r="E68" s="170"/>
      <c r="G68" s="158"/>
    </row>
    <row r="69" spans="3:7" ht="13.5" thickBot="1">
      <c r="C69" s="149"/>
      <c r="D69" s="148"/>
      <c r="E69" s="149"/>
      <c r="G69" s="158"/>
    </row>
    <row r="70" spans="3:7" ht="13.5" thickBot="1">
      <c r="C70" s="150">
        <f>SUM(C62:C68)</f>
        <v>0</v>
      </c>
      <c r="D70" s="151"/>
      <c r="E70" s="150">
        <f>SUM(E62:E68)</f>
        <v>0</v>
      </c>
      <c r="G70" s="158"/>
    </row>
    <row r="71" spans="3:7" ht="13.5" thickTop="1">
      <c r="C71" s="163"/>
      <c r="E71" s="163"/>
      <c r="G71" s="158"/>
    </row>
    <row r="72" spans="2:7" ht="15.75">
      <c r="B72" s="319"/>
      <c r="C72" s="319"/>
      <c r="D72" s="319"/>
      <c r="E72" s="319"/>
      <c r="G72" s="158"/>
    </row>
    <row r="73" spans="3:7" ht="12.75">
      <c r="C73" s="145" t="str">
        <f>C60</f>
        <v>6 мес 2014</v>
      </c>
      <c r="D73" s="145"/>
      <c r="E73" s="145" t="str">
        <f>E60</f>
        <v>9 мес 2011</v>
      </c>
      <c r="G73" s="158"/>
    </row>
    <row r="74" spans="2:7" ht="13.5" thickBot="1">
      <c r="B74" s="175"/>
      <c r="C74" s="161" t="s">
        <v>194</v>
      </c>
      <c r="D74" s="89"/>
      <c r="E74" s="161" t="s">
        <v>194</v>
      </c>
      <c r="G74" s="158"/>
    </row>
    <row r="75" spans="2:7" ht="12.75">
      <c r="B75" s="176"/>
      <c r="G75" s="158"/>
    </row>
    <row r="76" spans="2:7" ht="12.75">
      <c r="B76" s="154" t="s">
        <v>234</v>
      </c>
      <c r="C76" s="165" t="e">
        <f>-#REF!-#REF!</f>
        <v>#REF!</v>
      </c>
      <c r="D76" s="144"/>
      <c r="E76" s="155"/>
      <c r="F76" s="165"/>
      <c r="G76" s="158"/>
    </row>
    <row r="77" spans="2:7" ht="12.75">
      <c r="B77" s="154" t="s">
        <v>235</v>
      </c>
      <c r="C77" s="177"/>
      <c r="D77" s="144"/>
      <c r="E77" s="155"/>
      <c r="G77" s="158"/>
    </row>
    <row r="78" spans="2:7" ht="12.75">
      <c r="B78" s="154" t="s">
        <v>236</v>
      </c>
      <c r="C78" s="177"/>
      <c r="D78" s="144"/>
      <c r="E78" s="155"/>
      <c r="G78" s="158"/>
    </row>
    <row r="79" spans="2:7" ht="12.75">
      <c r="B79" s="154" t="s">
        <v>237</v>
      </c>
      <c r="C79" s="177"/>
      <c r="D79" s="144"/>
      <c r="E79" s="155"/>
      <c r="G79" s="158"/>
    </row>
    <row r="80" spans="2:7" ht="12.75">
      <c r="B80" s="178" t="s">
        <v>238</v>
      </c>
      <c r="C80" s="177"/>
      <c r="D80" s="144"/>
      <c r="E80" s="155"/>
      <c r="G80" s="158"/>
    </row>
    <row r="81" spans="2:7" ht="12.75">
      <c r="B81" s="178" t="s">
        <v>239</v>
      </c>
      <c r="C81" s="177"/>
      <c r="D81" s="144"/>
      <c r="E81" s="155"/>
      <c r="G81" s="158"/>
    </row>
    <row r="82" spans="2:7" ht="12.75">
      <c r="B82" s="178" t="s">
        <v>240</v>
      </c>
      <c r="C82" s="177"/>
      <c r="D82" s="144"/>
      <c r="E82" s="177"/>
      <c r="G82" s="158"/>
    </row>
    <row r="83" spans="2:7" ht="12.75">
      <c r="B83" s="154" t="s">
        <v>241</v>
      </c>
      <c r="C83" s="177"/>
      <c r="D83" s="144"/>
      <c r="E83" s="177"/>
      <c r="G83" s="158"/>
    </row>
    <row r="84" spans="2:7" ht="12.75">
      <c r="B84" s="154" t="s">
        <v>242</v>
      </c>
      <c r="C84" s="177"/>
      <c r="D84" s="144"/>
      <c r="E84" s="177"/>
      <c r="G84" s="158"/>
    </row>
    <row r="85" spans="2:7" ht="12.75">
      <c r="B85" s="154" t="s">
        <v>243</v>
      </c>
      <c r="C85" s="177"/>
      <c r="D85" s="144"/>
      <c r="E85" s="177"/>
      <c r="G85" s="158"/>
    </row>
    <row r="86" spans="2:7" ht="12.75">
      <c r="B86" s="154" t="s">
        <v>244</v>
      </c>
      <c r="C86" s="177"/>
      <c r="D86" s="144"/>
      <c r="E86" s="177"/>
      <c r="G86" s="158"/>
    </row>
    <row r="87" spans="2:7" ht="12.75">
      <c r="B87" s="154" t="s">
        <v>245</v>
      </c>
      <c r="C87" s="177"/>
      <c r="D87" s="144"/>
      <c r="E87" s="177"/>
      <c r="G87" s="158"/>
    </row>
    <row r="88" spans="2:7" ht="13.5" thickBot="1">
      <c r="B88" s="154" t="s">
        <v>246</v>
      </c>
      <c r="C88" s="179">
        <v>-403</v>
      </c>
      <c r="D88" s="144"/>
      <c r="E88" s="179"/>
      <c r="G88" s="158"/>
    </row>
    <row r="89" spans="3:7" ht="14.25" thickBot="1" thickTop="1">
      <c r="C89" s="149" t="e">
        <f>SUM(C76:C88)</f>
        <v>#REF!</v>
      </c>
      <c r="D89" s="148"/>
      <c r="E89" s="149">
        <f>SUM(E76:E88)</f>
        <v>0</v>
      </c>
      <c r="G89" s="158"/>
    </row>
    <row r="90" spans="3:7" ht="13.5" thickBot="1">
      <c r="C90" s="150"/>
      <c r="D90" s="151"/>
      <c r="E90" s="150"/>
      <c r="G90" s="158"/>
    </row>
    <row r="91" spans="3:7" ht="13.5" thickTop="1">
      <c r="C91" s="163"/>
      <c r="G91" s="158"/>
    </row>
    <row r="92" spans="3:7" ht="12.75">
      <c r="C92" s="163"/>
      <c r="G92" s="158"/>
    </row>
    <row r="93" spans="2:7" ht="14.25">
      <c r="B93" s="180" t="s">
        <v>247</v>
      </c>
      <c r="G93" s="158"/>
    </row>
    <row r="94" spans="3:7" ht="12.75">
      <c r="C94" s="145" t="str">
        <f>C73</f>
        <v>6 мес 2014</v>
      </c>
      <c r="D94" s="145"/>
      <c r="E94" s="145" t="str">
        <f>E73</f>
        <v>9 мес 2011</v>
      </c>
      <c r="G94" s="158"/>
    </row>
    <row r="95" spans="2:7" ht="13.5" thickBot="1">
      <c r="B95" s="181"/>
      <c r="C95" s="146" t="s">
        <v>194</v>
      </c>
      <c r="D95" s="145"/>
      <c r="E95" s="146" t="s">
        <v>194</v>
      </c>
      <c r="G95" s="158"/>
    </row>
    <row r="96" spans="2:7" ht="12.75">
      <c r="B96" s="181"/>
      <c r="D96" s="182"/>
      <c r="E96" s="148"/>
      <c r="G96" s="158"/>
    </row>
    <row r="97" spans="2:7" ht="12.75">
      <c r="B97" s="154" t="s">
        <v>248</v>
      </c>
      <c r="C97" s="183" t="e">
        <f>#REF!+#REF!+#REF!+#REF!+#REF!</f>
        <v>#REF!</v>
      </c>
      <c r="D97" s="182"/>
      <c r="E97" s="155"/>
      <c r="F97" s="149"/>
      <c r="G97" s="149"/>
    </row>
    <row r="98" spans="2:7" ht="12.75">
      <c r="B98" s="154" t="s">
        <v>249</v>
      </c>
      <c r="C98" s="149"/>
      <c r="D98" s="144"/>
      <c r="E98" s="155"/>
      <c r="F98" s="149"/>
      <c r="G98" s="149"/>
    </row>
    <row r="99" spans="2:7" ht="12.75">
      <c r="B99" s="154" t="s">
        <v>250</v>
      </c>
      <c r="C99" s="197" t="e">
        <f>#REF!+#REF!+#REF!</f>
        <v>#REF!</v>
      </c>
      <c r="D99" s="144"/>
      <c r="E99" s="155"/>
      <c r="F99" s="149"/>
      <c r="G99" s="149"/>
    </row>
    <row r="100" spans="2:7" ht="12.75">
      <c r="B100" s="154" t="s">
        <v>251</v>
      </c>
      <c r="C100" s="149"/>
      <c r="D100" s="144"/>
      <c r="E100" s="155"/>
      <c r="F100" s="149"/>
      <c r="G100" s="149"/>
    </row>
    <row r="101" spans="2:7" ht="12.75">
      <c r="B101" s="154" t="s">
        <v>252</v>
      </c>
      <c r="C101" s="197" t="e">
        <f>#REF!+#REF!</f>
        <v>#REF!</v>
      </c>
      <c r="D101" s="144"/>
      <c r="E101" s="155"/>
      <c r="F101" s="149"/>
      <c r="G101" s="140">
        <v>24332</v>
      </c>
    </row>
    <row r="102" spans="2:7" ht="12.75">
      <c r="B102" s="154" t="s">
        <v>253</v>
      </c>
      <c r="C102" s="183" t="e">
        <f>#REF!+#REF!+#REF!+#REF!+#REF!+#REF!+#REF!</f>
        <v>#REF!</v>
      </c>
      <c r="D102" s="144"/>
      <c r="E102" s="155"/>
      <c r="F102" s="149"/>
      <c r="G102" s="140">
        <v>1595</v>
      </c>
    </row>
    <row r="103" spans="2:7" ht="12.75">
      <c r="B103" s="154" t="s">
        <v>254</v>
      </c>
      <c r="C103" s="149"/>
      <c r="D103" s="144"/>
      <c r="E103" s="155"/>
      <c r="F103" s="149"/>
      <c r="G103" s="139" t="s">
        <v>99</v>
      </c>
    </row>
    <row r="104" spans="2:7" ht="12.75">
      <c r="B104" s="154" t="s">
        <v>242</v>
      </c>
      <c r="C104" s="197" t="e">
        <f>#REF!+#REF!+#REF!+#REF!+#REF!+#REF!+#REF!</f>
        <v>#REF!</v>
      </c>
      <c r="D104" s="144"/>
      <c r="E104" s="155"/>
      <c r="F104" s="149"/>
      <c r="G104" s="140">
        <v>2106</v>
      </c>
    </row>
    <row r="105" spans="2:7" ht="12.75">
      <c r="B105" s="154" t="s">
        <v>235</v>
      </c>
      <c r="C105" s="197" t="e">
        <f>#REF!</f>
        <v>#REF!</v>
      </c>
      <c r="D105" s="144"/>
      <c r="E105" s="155"/>
      <c r="F105" s="149"/>
      <c r="G105" s="140">
        <v>13569</v>
      </c>
    </row>
    <row r="106" spans="2:7" ht="12.75">
      <c r="B106" s="154" t="s">
        <v>255</v>
      </c>
      <c r="C106" s="197" t="e">
        <f>#REF!+#REF!+#REF!</f>
        <v>#REF!</v>
      </c>
      <c r="D106" s="144"/>
      <c r="E106" s="155"/>
      <c r="F106" s="149"/>
      <c r="G106" s="139">
        <v>638</v>
      </c>
    </row>
    <row r="107" spans="2:7" ht="12.75">
      <c r="B107" s="154" t="s">
        <v>256</v>
      </c>
      <c r="C107" s="197" t="e">
        <f>#REF!</f>
        <v>#REF!</v>
      </c>
      <c r="D107" s="144"/>
      <c r="E107" s="155"/>
      <c r="F107" s="149"/>
      <c r="G107" s="139">
        <v>80</v>
      </c>
    </row>
    <row r="108" spans="2:7" ht="12.75">
      <c r="B108" s="154" t="s">
        <v>257</v>
      </c>
      <c r="C108" s="149"/>
      <c r="D108" s="144"/>
      <c r="E108" s="155"/>
      <c r="F108" s="149"/>
      <c r="G108" s="139">
        <v>490</v>
      </c>
    </row>
    <row r="109" spans="2:7" ht="12.75">
      <c r="B109" s="154" t="s">
        <v>258</v>
      </c>
      <c r="C109" s="197" t="e">
        <f>#REF!</f>
        <v>#REF!</v>
      </c>
      <c r="D109" s="144"/>
      <c r="E109" s="155"/>
      <c r="F109" s="149"/>
      <c r="G109" s="139">
        <v>590</v>
      </c>
    </row>
    <row r="110" spans="2:7" ht="12.75">
      <c r="B110" s="154" t="s">
        <v>259</v>
      </c>
      <c r="C110" s="197" t="e">
        <f>#REF!+#REF!+#REF!</f>
        <v>#REF!</v>
      </c>
      <c r="D110" s="144"/>
      <c r="E110" s="155"/>
      <c r="F110" s="149"/>
      <c r="G110" s="140">
        <v>2876</v>
      </c>
    </row>
    <row r="111" spans="2:7" ht="12.75">
      <c r="B111" s="154" t="s">
        <v>260</v>
      </c>
      <c r="C111" s="197" t="e">
        <f>#REF!+#REF!+#REF!</f>
        <v>#REF!</v>
      </c>
      <c r="D111" s="144"/>
      <c r="E111" s="155"/>
      <c r="F111" s="149"/>
      <c r="G111" s="140">
        <v>1084</v>
      </c>
    </row>
    <row r="112" spans="2:7" ht="12.75">
      <c r="B112" s="154" t="s">
        <v>261</v>
      </c>
      <c r="C112" s="197" t="e">
        <f>#REF!+#REF!</f>
        <v>#REF!</v>
      </c>
      <c r="D112" s="144"/>
      <c r="E112" s="155"/>
      <c r="F112" s="149"/>
      <c r="G112" s="140">
        <v>38115</v>
      </c>
    </row>
    <row r="113" spans="2:7" ht="25.5">
      <c r="B113" s="154" t="s">
        <v>262</v>
      </c>
      <c r="C113" s="149"/>
      <c r="D113" s="144"/>
      <c r="E113" s="155"/>
      <c r="F113" s="149"/>
      <c r="G113" s="139" t="s">
        <v>99</v>
      </c>
    </row>
    <row r="114" spans="2:7" ht="12.75">
      <c r="B114" s="148" t="s">
        <v>263</v>
      </c>
      <c r="C114" s="197" t="e">
        <f>#REF!+#REF!+#REF!</f>
        <v>#REF!</v>
      </c>
      <c r="D114" s="144"/>
      <c r="E114" s="155"/>
      <c r="F114" s="149"/>
      <c r="G114" s="140">
        <v>8471</v>
      </c>
    </row>
    <row r="115" spans="2:7" ht="12.75">
      <c r="B115" s="148" t="s">
        <v>264</v>
      </c>
      <c r="C115" s="197" t="e">
        <f>#REF!+#REF!</f>
        <v>#REF!</v>
      </c>
      <c r="D115" s="144"/>
      <c r="E115" s="155"/>
      <c r="F115" s="149"/>
      <c r="G115" s="140">
        <v>1129</v>
      </c>
    </row>
    <row r="116" spans="2:7" ht="12.75">
      <c r="B116" s="148" t="s">
        <v>265</v>
      </c>
      <c r="C116" s="197" t="e">
        <f>#REF!</f>
        <v>#REF!</v>
      </c>
      <c r="D116" s="144"/>
      <c r="E116" s="155"/>
      <c r="F116" s="149"/>
      <c r="G116" s="140">
        <v>6495</v>
      </c>
    </row>
    <row r="117" spans="2:7" ht="12.75">
      <c r="B117" s="148" t="s">
        <v>266</v>
      </c>
      <c r="C117" s="183" t="e">
        <f>#REF!+#REF!</f>
        <v>#REF!</v>
      </c>
      <c r="D117" s="144"/>
      <c r="E117" s="155"/>
      <c r="F117" s="149"/>
      <c r="G117" s="140">
        <v>50665</v>
      </c>
    </row>
    <row r="118" spans="2:7" ht="12.75">
      <c r="B118" s="148" t="s">
        <v>267</v>
      </c>
      <c r="C118" s="149"/>
      <c r="D118" s="144"/>
      <c r="E118" s="155"/>
      <c r="F118" s="149"/>
      <c r="G118" s="149"/>
    </row>
    <row r="119" spans="2:7" ht="12.75">
      <c r="B119" s="148" t="s">
        <v>268</v>
      </c>
      <c r="C119" s="149"/>
      <c r="D119" s="144"/>
      <c r="E119" s="155"/>
      <c r="F119" s="149"/>
      <c r="G119" s="149"/>
    </row>
    <row r="120" spans="2:7" ht="12.75">
      <c r="B120" s="148" t="s">
        <v>269</v>
      </c>
      <c r="C120" s="197" t="e">
        <f>#REF!</f>
        <v>#REF!</v>
      </c>
      <c r="D120" s="144"/>
      <c r="E120" s="155"/>
      <c r="F120" s="149"/>
      <c r="G120" s="149"/>
    </row>
    <row r="121" spans="2:7" ht="12.75">
      <c r="B121" s="148" t="s">
        <v>270</v>
      </c>
      <c r="C121" s="197" t="e">
        <f>#REF!+#REF!</f>
        <v>#REF!</v>
      </c>
      <c r="D121" s="144"/>
      <c r="E121" s="155"/>
      <c r="F121" s="149"/>
      <c r="G121" s="149" t="e">
        <f>C123+C117+C102+C97</f>
        <v>#REF!</v>
      </c>
    </row>
    <row r="122" spans="2:7" ht="12.75">
      <c r="B122" s="148" t="s">
        <v>271</v>
      </c>
      <c r="C122" s="183"/>
      <c r="D122" s="144"/>
      <c r="E122" s="155"/>
      <c r="F122" s="149"/>
      <c r="G122" s="149"/>
    </row>
    <row r="123" spans="2:7" ht="13.5" thickBot="1">
      <c r="B123" s="154" t="s">
        <v>158</v>
      </c>
      <c r="C123" s="149" t="e">
        <f>#REF!+#REF!+#REF!+#REF!+#REF!+#REF!+#REF!+#REF!+#REF!+#REF!+#REF!+#REF!+#REF!+#REF!+#REF!</f>
        <v>#REF!</v>
      </c>
      <c r="D123" s="144"/>
      <c r="E123" s="155"/>
      <c r="F123" s="149"/>
      <c r="G123" s="149"/>
    </row>
    <row r="124" spans="2:7" ht="12.75">
      <c r="B124" s="144"/>
      <c r="C124" s="316" t="e">
        <f>-(C97+C99+C101+C102+C104+C105+C106+C107+C109+C110+C111+C112+C114+C115+C116+C117+C121++C120+C123)</f>
        <v>#REF!</v>
      </c>
      <c r="D124" s="318"/>
      <c r="E124" s="316"/>
      <c r="G124" s="316" t="e">
        <f>SUM(G97:G123)</f>
        <v>#REF!</v>
      </c>
    </row>
    <row r="125" spans="2:7" ht="13.5" thickBot="1">
      <c r="B125" s="144"/>
      <c r="C125" s="317"/>
      <c r="D125" s="318"/>
      <c r="E125" s="317"/>
      <c r="G125" s="317"/>
    </row>
    <row r="126" spans="3:7" ht="13.5" thickTop="1">
      <c r="C126" s="184"/>
      <c r="G126" s="158"/>
    </row>
    <row r="127" spans="3:7" ht="12.75">
      <c r="C127" s="163"/>
      <c r="G127" s="158"/>
    </row>
    <row r="128" spans="2:7" ht="12.75">
      <c r="B128" s="185"/>
      <c r="C128" s="163"/>
      <c r="E128" s="163"/>
      <c r="G128" s="158"/>
    </row>
    <row r="129" spans="2:7" ht="12.75">
      <c r="B129" s="151" t="s">
        <v>272</v>
      </c>
      <c r="G129" s="158"/>
    </row>
    <row r="130" spans="3:7" ht="12.75">
      <c r="C130" s="145" t="str">
        <f>C94</f>
        <v>6 мес 2014</v>
      </c>
      <c r="D130" s="145"/>
      <c r="E130" s="145"/>
      <c r="G130" s="158"/>
    </row>
    <row r="131" spans="2:7" ht="13.5" thickBot="1">
      <c r="B131" s="181"/>
      <c r="C131" s="146" t="s">
        <v>194</v>
      </c>
      <c r="D131" s="145"/>
      <c r="E131" s="146"/>
      <c r="G131" s="158"/>
    </row>
    <row r="132" spans="3:7" ht="12.75">
      <c r="C132" s="147"/>
      <c r="D132" s="145"/>
      <c r="E132" s="147"/>
      <c r="G132" s="158"/>
    </row>
    <row r="133" spans="2:7" ht="12.75">
      <c r="B133" s="148" t="s">
        <v>273</v>
      </c>
      <c r="C133" s="185">
        <v>-41704</v>
      </c>
      <c r="D133" s="145"/>
      <c r="E133" s="185"/>
      <c r="G133" s="158"/>
    </row>
    <row r="134" spans="2:7" ht="12.75">
      <c r="B134" s="148" t="s">
        <v>274</v>
      </c>
      <c r="C134" s="185">
        <v>-143656</v>
      </c>
      <c r="D134" s="186"/>
      <c r="E134" s="187"/>
      <c r="F134" s="187"/>
      <c r="G134" s="158"/>
    </row>
    <row r="135" spans="2:7" ht="25.5">
      <c r="B135" s="148" t="s">
        <v>275</v>
      </c>
      <c r="C135" s="185"/>
      <c r="D135" s="145"/>
      <c r="E135" s="185"/>
      <c r="G135" s="158"/>
    </row>
    <row r="136" spans="2:7" ht="13.5" thickBot="1">
      <c r="B136" s="148" t="s">
        <v>276</v>
      </c>
      <c r="C136" s="185"/>
      <c r="D136" s="151"/>
      <c r="E136" s="185"/>
      <c r="G136" s="158"/>
    </row>
    <row r="137" spans="2:7" ht="13.5" thickBot="1">
      <c r="B137" s="148"/>
      <c r="C137" s="150">
        <f>SUM(C133:C136)</f>
        <v>-185360</v>
      </c>
      <c r="D137" s="148"/>
      <c r="E137" s="150"/>
      <c r="G137" s="158"/>
    </row>
    <row r="138" spans="2:7" ht="13.5" thickTop="1">
      <c r="B138" s="148"/>
      <c r="C138" s="163"/>
      <c r="E138" s="158"/>
      <c r="G138" s="158"/>
    </row>
    <row r="139" spans="2:7" ht="12.75">
      <c r="B139" s="151" t="s">
        <v>277</v>
      </c>
      <c r="G139" s="158"/>
    </row>
    <row r="140" spans="3:7" ht="12.75">
      <c r="C140" s="145" t="str">
        <f>C130</f>
        <v>6 мес 2014</v>
      </c>
      <c r="D140" s="145"/>
      <c r="E140" s="145"/>
      <c r="G140" s="158"/>
    </row>
    <row r="141" spans="2:7" ht="13.5" thickBot="1">
      <c r="B141" s="181"/>
      <c r="C141" s="146" t="s">
        <v>194</v>
      </c>
      <c r="D141" s="145"/>
      <c r="E141" s="146"/>
      <c r="G141" s="158"/>
    </row>
    <row r="142" spans="3:7" ht="12.75">
      <c r="C142" s="158"/>
      <c r="G142" s="158"/>
    </row>
    <row r="143" spans="2:7" ht="12.75">
      <c r="B143" s="148" t="s">
        <v>278</v>
      </c>
      <c r="C143" s="185">
        <v>-180823</v>
      </c>
      <c r="E143" s="185"/>
      <c r="G143" s="158"/>
    </row>
    <row r="144" spans="2:7" ht="25.5">
      <c r="B144" s="148" t="s">
        <v>279</v>
      </c>
      <c r="C144" s="185"/>
      <c r="E144" s="185"/>
      <c r="G144" s="158"/>
    </row>
    <row r="145" spans="2:7" ht="12.75">
      <c r="B145" s="148" t="s">
        <v>280</v>
      </c>
      <c r="C145" s="185"/>
      <c r="E145" s="185"/>
      <c r="G145" s="158"/>
    </row>
    <row r="146" spans="2:7" ht="12.75">
      <c r="B146" s="148" t="s">
        <v>281</v>
      </c>
      <c r="C146" s="185">
        <f>150000-71+7252+41655</f>
        <v>198836</v>
      </c>
      <c r="E146" s="185"/>
      <c r="F146" s="185"/>
      <c r="G146" s="185"/>
    </row>
    <row r="147" spans="2:7" ht="25.5">
      <c r="B147" s="148" t="s">
        <v>282</v>
      </c>
      <c r="C147" s="185">
        <f>'[1]опу1'!D26</f>
        <v>0</v>
      </c>
      <c r="E147" s="185"/>
      <c r="F147" s="185"/>
      <c r="G147" s="185"/>
    </row>
    <row r="148" spans="2:7" ht="12.75">
      <c r="B148" s="148" t="s">
        <v>283</v>
      </c>
      <c r="C148" s="185">
        <v>46940</v>
      </c>
      <c r="E148" s="185"/>
      <c r="F148" s="185"/>
      <c r="G148" s="185"/>
    </row>
    <row r="149" spans="2:7" ht="13.5" thickBot="1">
      <c r="B149" s="148"/>
      <c r="C149" s="185"/>
      <c r="G149" s="185"/>
    </row>
    <row r="150" spans="2:7" ht="13.5" thickBot="1">
      <c r="B150" s="148"/>
      <c r="C150" s="150">
        <f>SUM(C143:C149)</f>
        <v>64953</v>
      </c>
      <c r="D150" s="148"/>
      <c r="E150" s="150"/>
      <c r="G150" s="152"/>
    </row>
    <row r="151" spans="2:5" ht="13.5" thickTop="1">
      <c r="B151" s="148"/>
      <c r="C151" s="158"/>
      <c r="E151" s="158"/>
    </row>
    <row r="152" spans="2:3" ht="12.75">
      <c r="B152" s="148"/>
      <c r="C152" s="158"/>
    </row>
    <row r="153" spans="3:5" ht="12.75">
      <c r="C153" s="158" t="e">
        <f>C27+C40+C54+C89+C124+C137+C150</f>
        <v>#REF!</v>
      </c>
      <c r="E153" s="188"/>
    </row>
    <row r="154" spans="3:5" ht="12.75">
      <c r="C154" s="158">
        <f>опу1!D27</f>
        <v>-2374937.77319</v>
      </c>
      <c r="E154" s="189"/>
    </row>
    <row r="155" spans="3:5" ht="12.75">
      <c r="C155" s="158" t="e">
        <f>C154-C153</f>
        <v>#REF!</v>
      </c>
      <c r="E155" s="188"/>
    </row>
    <row r="156" spans="3:5" ht="12.75">
      <c r="C156" s="158"/>
      <c r="E156" s="188"/>
    </row>
    <row r="157" ht="12.75">
      <c r="E157" s="189"/>
    </row>
    <row r="158" spans="2:9" ht="12.75">
      <c r="B158" s="168" t="s">
        <v>154</v>
      </c>
      <c r="C158" s="158"/>
      <c r="F158" s="190"/>
      <c r="G158" s="190"/>
      <c r="H158" s="191"/>
      <c r="I158" s="191"/>
    </row>
    <row r="159" spans="2:9" ht="12.75">
      <c r="B159" s="168"/>
      <c r="C159" s="145" t="str">
        <f>C140</f>
        <v>6 мес 2014</v>
      </c>
      <c r="E159" s="145"/>
      <c r="F159" s="191"/>
      <c r="G159" s="191"/>
      <c r="H159" s="191"/>
      <c r="I159" s="191"/>
    </row>
    <row r="160" spans="3:9" ht="12.75">
      <c r="C160" s="158"/>
      <c r="E160" s="158"/>
      <c r="F160" s="191"/>
      <c r="G160" s="191"/>
      <c r="H160" s="191"/>
      <c r="I160" s="191"/>
    </row>
    <row r="161" spans="2:9" ht="12.75">
      <c r="B161" s="148" t="s">
        <v>284</v>
      </c>
      <c r="C161" s="185">
        <v>7252</v>
      </c>
      <c r="E161" s="185"/>
      <c r="F161" s="191"/>
      <c r="G161" s="191"/>
      <c r="H161" s="191"/>
      <c r="I161" s="191"/>
    </row>
    <row r="162" spans="2:9" ht="12.75" hidden="1">
      <c r="B162" s="148" t="s">
        <v>285</v>
      </c>
      <c r="C162" s="185"/>
      <c r="E162" s="185"/>
      <c r="F162" s="191"/>
      <c r="G162" s="191"/>
      <c r="H162" s="191"/>
      <c r="I162" s="191"/>
    </row>
    <row r="163" spans="2:9" ht="12.75">
      <c r="B163" s="148" t="s">
        <v>291</v>
      </c>
      <c r="C163" s="185">
        <v>150000</v>
      </c>
      <c r="E163" s="185"/>
      <c r="F163" s="191"/>
      <c r="G163" s="191"/>
      <c r="H163" s="191"/>
      <c r="I163" s="191"/>
    </row>
    <row r="164" spans="2:9" ht="12.75">
      <c r="B164" s="148" t="s">
        <v>190</v>
      </c>
      <c r="C164" s="185">
        <v>46940</v>
      </c>
      <c r="E164" s="185"/>
      <c r="F164" s="191"/>
      <c r="G164" s="191"/>
      <c r="H164" s="191"/>
      <c r="I164" s="191"/>
    </row>
    <row r="165" spans="2:9" ht="12.75">
      <c r="B165" s="148"/>
      <c r="C165" s="192">
        <f>SUM(C161:C164)</f>
        <v>204192</v>
      </c>
      <c r="E165" s="192"/>
      <c r="F165" s="191"/>
      <c r="G165" s="191"/>
      <c r="H165" s="191"/>
      <c r="I165" s="191"/>
    </row>
    <row r="166" spans="5:9" ht="12.75">
      <c r="E166" s="185"/>
      <c r="F166" s="191"/>
      <c r="G166" s="191"/>
      <c r="H166" s="191"/>
      <c r="I166" s="191"/>
    </row>
    <row r="167" spans="3:9" ht="12.75" customHeight="1" hidden="1">
      <c r="C167" s="163">
        <f>'[1]опу1'!D15</f>
        <v>7191.20228</v>
      </c>
      <c r="E167" s="163"/>
      <c r="F167" s="191"/>
      <c r="G167" s="191"/>
      <c r="H167" s="191"/>
      <c r="I167" s="191"/>
    </row>
    <row r="168" spans="3:9" ht="12.75" customHeight="1" hidden="1">
      <c r="C168" s="158">
        <f>C167-C165</f>
        <v>-197000.79772</v>
      </c>
      <c r="E168" s="158"/>
      <c r="F168" s="191"/>
      <c r="G168" s="190"/>
      <c r="H168" s="191"/>
      <c r="I168" s="191"/>
    </row>
    <row r="169" spans="6:9" ht="12.75" customHeight="1" hidden="1">
      <c r="F169" s="190"/>
      <c r="G169" s="191"/>
      <c r="H169" s="191"/>
      <c r="I169" s="191"/>
    </row>
    <row r="170" spans="2:9" ht="12.75" customHeight="1" hidden="1">
      <c r="B170" s="193" t="s">
        <v>153</v>
      </c>
      <c r="C170" s="185">
        <v>20735</v>
      </c>
      <c r="D170" s="79"/>
      <c r="F170" s="191"/>
      <c r="G170" s="191"/>
      <c r="H170" s="191"/>
      <c r="I170" s="191"/>
    </row>
    <row r="171" spans="2:9" ht="13.5" customHeight="1" hidden="1">
      <c r="B171" s="193" t="s">
        <v>154</v>
      </c>
      <c r="C171" s="185">
        <f>56611</f>
        <v>56611</v>
      </c>
      <c r="D171" s="79"/>
      <c r="F171" s="191"/>
      <c r="G171" s="191"/>
      <c r="H171" s="191"/>
      <c r="I171" s="191"/>
    </row>
    <row r="172" spans="2:9" ht="13.5" customHeight="1" hidden="1">
      <c r="B172" s="168" t="s">
        <v>286</v>
      </c>
      <c r="C172" s="150">
        <f>SUM(C170:C171)</f>
        <v>77346</v>
      </c>
      <c r="D172" s="79"/>
      <c r="F172" s="191"/>
      <c r="G172" s="191"/>
      <c r="H172" s="191"/>
      <c r="I172" s="191"/>
    </row>
    <row r="173" spans="2:7" ht="12.75">
      <c r="B173" s="193"/>
      <c r="C173" s="194"/>
      <c r="D173" s="79"/>
      <c r="F173" s="191"/>
      <c r="G173" s="191"/>
    </row>
    <row r="174" spans="2:6" ht="12.75">
      <c r="B174" s="168" t="s">
        <v>158</v>
      </c>
      <c r="C174" s="194"/>
      <c r="D174" s="79"/>
      <c r="F174" s="191"/>
    </row>
    <row r="175" spans="2:4" ht="12.75">
      <c r="B175" s="193" t="s">
        <v>287</v>
      </c>
      <c r="C175" s="185"/>
      <c r="D175" s="79"/>
    </row>
    <row r="176" spans="2:3" ht="12.75">
      <c r="B176" s="193" t="s">
        <v>288</v>
      </c>
      <c r="C176" s="185"/>
    </row>
    <row r="177" spans="2:3" ht="12.75">
      <c r="B177" s="193" t="s">
        <v>289</v>
      </c>
      <c r="C177" s="185"/>
    </row>
    <row r="178" spans="2:3" ht="22.5" customHeight="1" hidden="1">
      <c r="B178" s="195" t="s">
        <v>290</v>
      </c>
      <c r="C178" s="185"/>
    </row>
    <row r="179" spans="2:3" ht="13.5" thickBot="1">
      <c r="B179" s="193" t="s">
        <v>158</v>
      </c>
      <c r="C179" s="185"/>
    </row>
    <row r="180" spans="2:3" ht="13.5" thickBot="1">
      <c r="B180" s="168" t="s">
        <v>286</v>
      </c>
      <c r="C180" s="150">
        <f>SUM(C175:C179)</f>
        <v>0</v>
      </c>
    </row>
    <row r="181" ht="13.5" thickTop="1"/>
    <row r="182" spans="2:3" ht="12.75">
      <c r="B182" s="168"/>
      <c r="C182" s="196"/>
    </row>
    <row r="184" ht="12.75">
      <c r="C184" s="158"/>
    </row>
    <row r="185" ht="12.75">
      <c r="C185" s="139"/>
    </row>
    <row r="186" ht="12.75">
      <c r="C186" s="139"/>
    </row>
    <row r="187" ht="12.75">
      <c r="C187" s="139"/>
    </row>
    <row r="188" ht="12.75">
      <c r="C188" s="140"/>
    </row>
    <row r="189" ht="12.75">
      <c r="C189" s="139"/>
    </row>
    <row r="190" ht="12.75">
      <c r="C190" s="139"/>
    </row>
    <row r="191" ht="12.75">
      <c r="C191" s="140"/>
    </row>
    <row r="192" ht="12.75">
      <c r="C192" s="139"/>
    </row>
    <row r="193" ht="12.75">
      <c r="C193" s="140"/>
    </row>
    <row r="194" ht="12.75">
      <c r="C194" s="139"/>
    </row>
    <row r="195" ht="12.75">
      <c r="C195" s="139"/>
    </row>
    <row r="196" ht="12.75">
      <c r="C196" s="135"/>
    </row>
    <row r="197" ht="12.75">
      <c r="C197" s="140"/>
    </row>
    <row r="198" ht="12.75">
      <c r="C198" s="139"/>
    </row>
    <row r="199" ht="12.75">
      <c r="C199" s="140"/>
    </row>
    <row r="200" ht="12.75">
      <c r="C200" s="140"/>
    </row>
    <row r="201" ht="12.75">
      <c r="C201" s="139"/>
    </row>
    <row r="202" ht="12.75">
      <c r="C202" s="140"/>
    </row>
    <row r="203" ht="12.75">
      <c r="C203" s="140"/>
    </row>
    <row r="204" ht="12.75">
      <c r="C204" s="139"/>
    </row>
    <row r="205" ht="12.75">
      <c r="C205" s="140"/>
    </row>
  </sheetData>
  <sheetProtection/>
  <mergeCells count="10">
    <mergeCell ref="C124:C125"/>
    <mergeCell ref="D124:D125"/>
    <mergeCell ref="E124:E125"/>
    <mergeCell ref="G124:G125"/>
    <mergeCell ref="B2:E2"/>
    <mergeCell ref="B15:E15"/>
    <mergeCell ref="B31:E31"/>
    <mergeCell ref="B43:E43"/>
    <mergeCell ref="B59:E59"/>
    <mergeCell ref="B72:E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5" sqref="L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6:D11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38.125" style="0" customWidth="1"/>
    <col min="3" max="3" width="13.875" style="0" customWidth="1"/>
    <col min="4" max="4" width="17.00390625" style="0" customWidth="1"/>
  </cols>
  <sheetData>
    <row r="5" ht="12.75" customHeight="1"/>
    <row r="6" spans="2:3" ht="21" customHeight="1">
      <c r="B6" s="56" t="s">
        <v>301</v>
      </c>
      <c r="C6" s="100" t="e">
        <f>#REF!</f>
        <v>#REF!</v>
      </c>
    </row>
    <row r="7" spans="2:3" ht="23.25" customHeight="1">
      <c r="B7" t="s">
        <v>1</v>
      </c>
      <c r="C7" s="99">
        <v>0.9758</v>
      </c>
    </row>
    <row r="8" spans="2:3" ht="24.75" customHeight="1">
      <c r="B8" t="s">
        <v>3</v>
      </c>
      <c r="C8" s="99"/>
    </row>
    <row r="9" spans="2:4" ht="24.75" customHeight="1">
      <c r="B9" s="56" t="s">
        <v>2</v>
      </c>
      <c r="C9" s="101">
        <f>100%-C7</f>
        <v>0.0242</v>
      </c>
      <c r="D9" s="100" t="e">
        <f>C6*C9</f>
        <v>#REF!</v>
      </c>
    </row>
    <row r="11" ht="12.75">
      <c r="C11">
        <v>36090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7"/>
  <sheetViews>
    <sheetView zoomScalePageLayoutView="0" workbookViewId="0" topLeftCell="A31">
      <selection activeCell="E46" sqref="E46"/>
    </sheetView>
  </sheetViews>
  <sheetFormatPr defaultColWidth="9.00390625" defaultRowHeight="12.75" outlineLevelCol="1"/>
  <cols>
    <col min="1" max="1" width="2.625" style="0" customWidth="1"/>
    <col min="2" max="2" width="49.875" style="0" customWidth="1"/>
    <col min="3" max="3" width="19.875" style="0" customWidth="1"/>
    <col min="4" max="4" width="6.00390625" style="0" customWidth="1"/>
    <col min="5" max="5" width="17.875" style="47" customWidth="1"/>
    <col min="6" max="6" width="15.75390625" style="47" hidden="1" customWidth="1" outlineLevel="1"/>
    <col min="7" max="7" width="16.125" style="0" hidden="1" customWidth="1" outlineLevel="1"/>
    <col min="8" max="8" width="14.375" style="0" hidden="1" customWidth="1" outlineLevel="1"/>
    <col min="9" max="10" width="15.75390625" style="47" hidden="1" customWidth="1" outlineLevel="1"/>
    <col min="11" max="11" width="17.375" style="0" customWidth="1" collapsed="1"/>
    <col min="12" max="12" width="18.125" style="0" customWidth="1"/>
  </cols>
  <sheetData>
    <row r="1" spans="1:10" ht="12.75">
      <c r="A1" s="22" t="s">
        <v>4</v>
      </c>
      <c r="B1" s="40"/>
      <c r="C1" s="41"/>
      <c r="D1" s="41"/>
      <c r="E1" s="41"/>
      <c r="F1" s="41"/>
      <c r="I1"/>
      <c r="J1"/>
    </row>
    <row r="2" spans="1:10" ht="12.75">
      <c r="A2" s="22" t="s">
        <v>314</v>
      </c>
      <c r="B2" s="40"/>
      <c r="C2" s="41"/>
      <c r="D2" s="41"/>
      <c r="E2" s="41"/>
      <c r="F2" s="41"/>
      <c r="I2"/>
      <c r="J2"/>
    </row>
    <row r="4" spans="2:10" ht="12.75" customHeight="1">
      <c r="B4" s="306" t="s">
        <v>142</v>
      </c>
      <c r="C4" s="306"/>
      <c r="D4" s="306"/>
      <c r="E4" s="306"/>
      <c r="F4" s="252"/>
      <c r="I4"/>
      <c r="J4"/>
    </row>
    <row r="5" spans="2:10" ht="12.75" customHeight="1">
      <c r="B5" s="307" t="s">
        <v>327</v>
      </c>
      <c r="C5" s="307"/>
      <c r="D5" s="307"/>
      <c r="E5" s="307"/>
      <c r="F5" s="252"/>
      <c r="I5"/>
      <c r="J5"/>
    </row>
    <row r="6" spans="2:10" ht="14.25">
      <c r="B6" s="276" t="s">
        <v>44</v>
      </c>
      <c r="C6" s="276"/>
      <c r="D6" s="276"/>
      <c r="E6" s="276"/>
      <c r="F6" s="252"/>
      <c r="I6"/>
      <c r="J6"/>
    </row>
    <row r="7" spans="5:11" s="51" customFormat="1" ht="12.75">
      <c r="E7" s="308"/>
      <c r="F7" s="308"/>
      <c r="G7" s="308"/>
      <c r="I7" s="49"/>
      <c r="J7" s="49"/>
      <c r="K7" s="51" t="s">
        <v>55</v>
      </c>
    </row>
    <row r="8" spans="2:12" s="51" customFormat="1" ht="28.5" customHeight="1">
      <c r="B8" s="309" t="s">
        <v>56</v>
      </c>
      <c r="C8" s="309"/>
      <c r="D8" s="272" t="s">
        <v>143</v>
      </c>
      <c r="E8" s="280" t="s">
        <v>317</v>
      </c>
      <c r="F8" s="280" t="s">
        <v>170</v>
      </c>
      <c r="G8" s="281" t="s">
        <v>127</v>
      </c>
      <c r="H8" s="281" t="s">
        <v>128</v>
      </c>
      <c r="I8" s="281" t="s">
        <v>129</v>
      </c>
      <c r="J8" s="281"/>
      <c r="K8" s="280" t="s">
        <v>318</v>
      </c>
      <c r="L8" s="253"/>
    </row>
    <row r="9" spans="2:12" s="51" customFormat="1" ht="15" customHeight="1">
      <c r="B9" s="305" t="s">
        <v>145</v>
      </c>
      <c r="C9" s="305"/>
      <c r="D9" s="271"/>
      <c r="E9" s="258"/>
      <c r="F9" s="259"/>
      <c r="G9" s="259"/>
      <c r="H9" s="259"/>
      <c r="I9" s="259"/>
      <c r="J9" s="259"/>
      <c r="K9" s="259"/>
      <c r="L9" s="254"/>
    </row>
    <row r="10" spans="2:12" s="51" customFormat="1" ht="15" customHeight="1">
      <c r="B10" s="305" t="s">
        <v>146</v>
      </c>
      <c r="C10" s="305"/>
      <c r="D10" s="271"/>
      <c r="E10" s="296">
        <f>E12+E13</f>
        <v>20657</v>
      </c>
      <c r="F10" s="262"/>
      <c r="G10" s="259"/>
      <c r="H10" s="262"/>
      <c r="I10" s="262"/>
      <c r="J10" s="262"/>
      <c r="K10" s="261">
        <v>101054</v>
      </c>
      <c r="L10" s="254"/>
    </row>
    <row r="11" spans="2:12" s="51" customFormat="1" ht="15" customHeight="1">
      <c r="B11" s="304" t="s">
        <v>6</v>
      </c>
      <c r="C11" s="304"/>
      <c r="D11" s="247"/>
      <c r="E11" s="297"/>
      <c r="F11" s="259"/>
      <c r="G11" s="259"/>
      <c r="H11" s="259"/>
      <c r="I11" s="259"/>
      <c r="J11" s="259"/>
      <c r="K11" s="258"/>
      <c r="L11" s="254"/>
    </row>
    <row r="12" spans="2:12" s="51" customFormat="1" ht="15" customHeight="1">
      <c r="B12" s="304" t="s">
        <v>7</v>
      </c>
      <c r="C12" s="304"/>
      <c r="D12" s="247"/>
      <c r="E12" s="298">
        <v>20235</v>
      </c>
      <c r="F12" s="259"/>
      <c r="G12" s="259"/>
      <c r="H12" s="259"/>
      <c r="I12" s="259"/>
      <c r="J12" s="259"/>
      <c r="K12" s="270">
        <v>78747</v>
      </c>
      <c r="L12" s="254"/>
    </row>
    <row r="13" spans="2:12" s="51" customFormat="1" ht="15" customHeight="1">
      <c r="B13" s="304" t="s">
        <v>8</v>
      </c>
      <c r="C13" s="304"/>
      <c r="D13" s="247"/>
      <c r="E13" s="298">
        <f>1792-1370</f>
        <v>422</v>
      </c>
      <c r="F13" s="264"/>
      <c r="G13" s="259"/>
      <c r="H13" s="264"/>
      <c r="I13" s="264"/>
      <c r="J13" s="264"/>
      <c r="K13" s="270">
        <v>22307</v>
      </c>
      <c r="L13" s="254"/>
    </row>
    <row r="14" spans="2:12" s="51" customFormat="1" ht="15" customHeight="1">
      <c r="B14" s="305" t="s">
        <v>9</v>
      </c>
      <c r="C14" s="305"/>
      <c r="D14" s="271"/>
      <c r="E14" s="296">
        <f>E16+E29+E30+E31+E32+E33+E34</f>
        <v>32382</v>
      </c>
      <c r="F14" s="264"/>
      <c r="G14" s="259"/>
      <c r="H14" s="264"/>
      <c r="I14" s="264"/>
      <c r="J14" s="264"/>
      <c r="K14" s="261">
        <v>89386</v>
      </c>
      <c r="L14" s="255"/>
    </row>
    <row r="15" spans="2:12" s="51" customFormat="1" ht="15" customHeight="1">
      <c r="B15" s="304" t="s">
        <v>6</v>
      </c>
      <c r="C15" s="304"/>
      <c r="D15" s="247"/>
      <c r="E15" s="297"/>
      <c r="F15" s="264"/>
      <c r="G15" s="259"/>
      <c r="H15" s="264"/>
      <c r="I15" s="264"/>
      <c r="J15" s="264"/>
      <c r="K15" s="258"/>
      <c r="L15" s="254"/>
    </row>
    <row r="16" spans="2:12" s="51" customFormat="1" ht="15" customHeight="1">
      <c r="B16" s="304" t="s">
        <v>10</v>
      </c>
      <c r="C16" s="304"/>
      <c r="D16" s="247"/>
      <c r="E16" s="297">
        <f>E18+E19+E20+E21+E22+E23+E24+E25+E26+E17+E27</f>
        <v>16872</v>
      </c>
      <c r="F16" s="264"/>
      <c r="G16" s="259"/>
      <c r="H16" s="264"/>
      <c r="I16" s="264"/>
      <c r="J16" s="264"/>
      <c r="K16" s="263">
        <v>45083</v>
      </c>
      <c r="L16" s="255"/>
    </row>
    <row r="17" spans="2:12" s="51" customFormat="1" ht="15" customHeight="1">
      <c r="B17" s="304" t="s">
        <v>11</v>
      </c>
      <c r="C17" s="304"/>
      <c r="D17" s="247"/>
      <c r="E17" s="298"/>
      <c r="F17" s="264"/>
      <c r="G17" s="259"/>
      <c r="H17" s="264"/>
      <c r="I17" s="264"/>
      <c r="J17" s="264"/>
      <c r="K17" s="263"/>
      <c r="L17" s="255"/>
    </row>
    <row r="18" spans="2:12" s="51" customFormat="1" ht="15" customHeight="1">
      <c r="B18" s="304" t="s">
        <v>12</v>
      </c>
      <c r="C18" s="304"/>
      <c r="D18" s="247"/>
      <c r="E18" s="298">
        <v>725</v>
      </c>
      <c r="F18" s="264"/>
      <c r="G18" s="259"/>
      <c r="H18" s="264"/>
      <c r="I18" s="264"/>
      <c r="J18" s="264"/>
      <c r="K18" s="270">
        <v>1298</v>
      </c>
      <c r="L18" s="254"/>
    </row>
    <row r="19" spans="2:12" s="51" customFormat="1" ht="15" customHeight="1">
      <c r="B19" s="304" t="s">
        <v>13</v>
      </c>
      <c r="C19" s="304"/>
      <c r="D19" s="247"/>
      <c r="E19" s="298">
        <v>546</v>
      </c>
      <c r="F19" s="264"/>
      <c r="G19" s="259"/>
      <c r="H19" s="264"/>
      <c r="I19" s="264"/>
      <c r="J19" s="264"/>
      <c r="K19" s="270">
        <v>335</v>
      </c>
      <c r="L19" s="254"/>
    </row>
    <row r="20" spans="2:12" s="51" customFormat="1" ht="15" customHeight="1">
      <c r="B20" s="304" t="s">
        <v>14</v>
      </c>
      <c r="C20" s="304"/>
      <c r="D20" s="247"/>
      <c r="E20" s="298">
        <v>17</v>
      </c>
      <c r="F20" s="264"/>
      <c r="G20" s="259"/>
      <c r="H20" s="264"/>
      <c r="I20" s="264"/>
      <c r="J20" s="264"/>
      <c r="K20" s="270">
        <v>1717</v>
      </c>
      <c r="L20" s="254"/>
    </row>
    <row r="21" spans="2:12" s="51" customFormat="1" ht="15" customHeight="1">
      <c r="B21" s="304" t="s">
        <v>15</v>
      </c>
      <c r="C21" s="304"/>
      <c r="D21" s="247"/>
      <c r="E21" s="298">
        <v>87</v>
      </c>
      <c r="F21" s="264"/>
      <c r="G21" s="259"/>
      <c r="H21" s="264"/>
      <c r="I21" s="264"/>
      <c r="J21" s="264"/>
      <c r="K21" s="270">
        <v>156</v>
      </c>
      <c r="L21" s="254"/>
    </row>
    <row r="22" spans="2:12" s="51" customFormat="1" ht="15" customHeight="1">
      <c r="B22" s="304" t="s">
        <v>16</v>
      </c>
      <c r="C22" s="304"/>
      <c r="D22" s="247"/>
      <c r="E22" s="298">
        <v>3548</v>
      </c>
      <c r="F22" s="264"/>
      <c r="G22" s="259"/>
      <c r="H22" s="264"/>
      <c r="I22" s="264"/>
      <c r="J22" s="264"/>
      <c r="K22" s="270">
        <v>10312</v>
      </c>
      <c r="L22" s="256"/>
    </row>
    <row r="23" spans="2:12" s="51" customFormat="1" ht="15" customHeight="1">
      <c r="B23" s="304" t="s">
        <v>17</v>
      </c>
      <c r="C23" s="304"/>
      <c r="D23" s="247"/>
      <c r="E23" s="298"/>
      <c r="F23" s="264"/>
      <c r="G23" s="259"/>
      <c r="H23" s="264"/>
      <c r="I23" s="264"/>
      <c r="J23" s="264"/>
      <c r="K23" s="270">
        <v>35</v>
      </c>
      <c r="L23" s="254"/>
    </row>
    <row r="24" spans="2:12" s="51" customFormat="1" ht="15" customHeight="1">
      <c r="B24" s="304" t="s">
        <v>18</v>
      </c>
      <c r="C24" s="304"/>
      <c r="D24" s="247"/>
      <c r="E24" s="298">
        <v>251</v>
      </c>
      <c r="F24" s="264"/>
      <c r="G24" s="259"/>
      <c r="H24" s="259"/>
      <c r="I24" s="264"/>
      <c r="J24" s="264"/>
      <c r="K24" s="270">
        <v>432</v>
      </c>
      <c r="L24" s="256"/>
    </row>
    <row r="25" spans="2:12" s="51" customFormat="1" ht="15" customHeight="1">
      <c r="B25" s="304" t="s">
        <v>19</v>
      </c>
      <c r="C25" s="304"/>
      <c r="D25" s="247"/>
      <c r="E25" s="297"/>
      <c r="F25" s="264"/>
      <c r="G25" s="259"/>
      <c r="H25" s="259"/>
      <c r="I25" s="264"/>
      <c r="J25" s="264"/>
      <c r="K25" s="270">
        <v>6</v>
      </c>
      <c r="L25" s="256"/>
    </row>
    <row r="26" spans="2:12" s="51" customFormat="1" ht="15" customHeight="1">
      <c r="B26" s="304" t="s">
        <v>20</v>
      </c>
      <c r="C26" s="304"/>
      <c r="D26" s="247"/>
      <c r="E26" s="298"/>
      <c r="F26" s="264"/>
      <c r="G26" s="259"/>
      <c r="H26" s="259"/>
      <c r="I26" s="264"/>
      <c r="J26" s="264"/>
      <c r="K26" s="270">
        <v>37</v>
      </c>
      <c r="L26" s="254"/>
    </row>
    <row r="27" spans="2:12" s="51" customFormat="1" ht="15" customHeight="1">
      <c r="B27" s="304" t="s">
        <v>21</v>
      </c>
      <c r="C27" s="304"/>
      <c r="D27" s="247"/>
      <c r="E27" s="298">
        <f>11523+175</f>
        <v>11698</v>
      </c>
      <c r="F27" s="264"/>
      <c r="G27" s="259"/>
      <c r="H27" s="264"/>
      <c r="I27" s="264"/>
      <c r="J27" s="264"/>
      <c r="K27" s="270">
        <v>30755</v>
      </c>
      <c r="L27" s="255"/>
    </row>
    <row r="28" spans="2:12" s="51" customFormat="1" ht="15" customHeight="1">
      <c r="B28" s="304" t="s">
        <v>22</v>
      </c>
      <c r="C28" s="304"/>
      <c r="D28" s="247"/>
      <c r="E28" s="297"/>
      <c r="F28" s="264"/>
      <c r="G28" s="259"/>
      <c r="H28" s="264"/>
      <c r="I28" s="264"/>
      <c r="J28" s="264"/>
      <c r="K28" s="263"/>
      <c r="L28" s="254"/>
    </row>
    <row r="29" spans="2:12" s="51" customFormat="1" ht="15" customHeight="1">
      <c r="B29" s="304" t="s">
        <v>23</v>
      </c>
      <c r="C29" s="304"/>
      <c r="D29" s="247"/>
      <c r="E29" s="298">
        <v>5675</v>
      </c>
      <c r="F29" s="264"/>
      <c r="G29" s="259"/>
      <c r="H29" s="264"/>
      <c r="I29" s="264"/>
      <c r="J29" s="264"/>
      <c r="K29" s="270">
        <v>7908</v>
      </c>
      <c r="L29" s="256"/>
    </row>
    <row r="30" spans="2:12" s="51" customFormat="1" ht="15" customHeight="1">
      <c r="B30" s="304" t="s">
        <v>24</v>
      </c>
      <c r="C30" s="304"/>
      <c r="D30" s="247"/>
      <c r="E30" s="298">
        <v>1244</v>
      </c>
      <c r="F30" s="264"/>
      <c r="G30" s="259"/>
      <c r="H30" s="264"/>
      <c r="I30" s="264"/>
      <c r="J30" s="264"/>
      <c r="K30" s="270">
        <v>1618</v>
      </c>
      <c r="L30" s="256"/>
    </row>
    <row r="31" spans="2:12" s="51" customFormat="1" ht="15" customHeight="1">
      <c r="B31" s="304" t="s">
        <v>25</v>
      </c>
      <c r="C31" s="304"/>
      <c r="D31" s="247"/>
      <c r="E31" s="298">
        <v>723</v>
      </c>
      <c r="F31" s="264"/>
      <c r="G31" s="259"/>
      <c r="H31" s="264"/>
      <c r="I31" s="264"/>
      <c r="J31" s="264"/>
      <c r="K31" s="270">
        <v>976</v>
      </c>
      <c r="L31" s="256"/>
    </row>
    <row r="32" spans="2:12" s="51" customFormat="1" ht="15" customHeight="1">
      <c r="B32" s="304" t="s">
        <v>26</v>
      </c>
      <c r="C32" s="304"/>
      <c r="D32" s="247"/>
      <c r="E32" s="298">
        <v>589</v>
      </c>
      <c r="F32" s="264"/>
      <c r="G32" s="259"/>
      <c r="H32" s="264"/>
      <c r="I32" s="264"/>
      <c r="J32" s="264"/>
      <c r="K32" s="270">
        <v>7246</v>
      </c>
      <c r="L32" s="256"/>
    </row>
    <row r="33" spans="2:12" s="51" customFormat="1" ht="15" customHeight="1">
      <c r="B33" s="203" t="s">
        <v>171</v>
      </c>
      <c r="C33" s="203"/>
      <c r="D33" s="247"/>
      <c r="E33" s="298"/>
      <c r="F33" s="264"/>
      <c r="G33" s="259"/>
      <c r="H33" s="264"/>
      <c r="I33" s="264"/>
      <c r="J33" s="264"/>
      <c r="K33" s="270">
        <v>20288</v>
      </c>
      <c r="L33" s="256"/>
    </row>
    <row r="34" spans="2:12" s="51" customFormat="1" ht="15" customHeight="1">
      <c r="B34" s="304" t="s">
        <v>27</v>
      </c>
      <c r="C34" s="304"/>
      <c r="D34" s="247"/>
      <c r="E34" s="298">
        <f>1631-1370+7018</f>
        <v>7279</v>
      </c>
      <c r="F34" s="264"/>
      <c r="G34" s="259"/>
      <c r="H34" s="264"/>
      <c r="I34" s="264"/>
      <c r="J34" s="264"/>
      <c r="K34" s="270">
        <v>6267</v>
      </c>
      <c r="L34" s="256"/>
    </row>
    <row r="35" spans="2:12" s="51" customFormat="1" ht="15" customHeight="1">
      <c r="B35" s="305" t="s">
        <v>28</v>
      </c>
      <c r="C35" s="305"/>
      <c r="D35" s="271"/>
      <c r="E35" s="296">
        <f>E10-E14</f>
        <v>-11725</v>
      </c>
      <c r="F35" s="264"/>
      <c r="G35" s="259"/>
      <c r="H35" s="264"/>
      <c r="I35" s="264"/>
      <c r="J35" s="264"/>
      <c r="K35" s="261">
        <v>11668</v>
      </c>
      <c r="L35" s="255"/>
    </row>
    <row r="36" spans="2:12" s="51" customFormat="1" ht="15" customHeight="1">
      <c r="B36" s="305" t="s">
        <v>29</v>
      </c>
      <c r="C36" s="305"/>
      <c r="D36" s="271"/>
      <c r="E36" s="296"/>
      <c r="F36" s="264"/>
      <c r="G36" s="259"/>
      <c r="H36" s="264"/>
      <c r="I36" s="264"/>
      <c r="J36" s="264"/>
      <c r="K36" s="258"/>
      <c r="L36" s="254"/>
    </row>
    <row r="37" spans="2:12" s="51" customFormat="1" ht="15" customHeight="1">
      <c r="B37" s="305" t="s">
        <v>146</v>
      </c>
      <c r="C37" s="305"/>
      <c r="D37" s="271"/>
      <c r="E37" s="296">
        <f>E41</f>
        <v>195</v>
      </c>
      <c r="F37" s="264"/>
      <c r="G37" s="259"/>
      <c r="H37" s="264"/>
      <c r="I37" s="264"/>
      <c r="J37" s="264"/>
      <c r="K37" s="261">
        <v>96228</v>
      </c>
      <c r="L37" s="256"/>
    </row>
    <row r="38" spans="2:12" s="51" customFormat="1" ht="15" customHeight="1">
      <c r="B38" s="304" t="s">
        <v>6</v>
      </c>
      <c r="C38" s="304"/>
      <c r="D38" s="247"/>
      <c r="E38" s="297"/>
      <c r="F38" s="264"/>
      <c r="G38" s="259"/>
      <c r="H38" s="264"/>
      <c r="I38" s="264"/>
      <c r="J38" s="264"/>
      <c r="K38" s="258"/>
      <c r="L38" s="254"/>
    </row>
    <row r="39" spans="2:12" s="51" customFormat="1" ht="15" customHeight="1">
      <c r="B39" s="304" t="s">
        <v>298</v>
      </c>
      <c r="C39" s="304"/>
      <c r="D39" s="247"/>
      <c r="E39" s="298"/>
      <c r="F39" s="264"/>
      <c r="G39" s="259"/>
      <c r="H39" s="259"/>
      <c r="I39" s="264"/>
      <c r="J39" s="264"/>
      <c r="K39" s="270">
        <v>46051</v>
      </c>
      <c r="L39" s="254"/>
    </row>
    <row r="40" spans="2:12" ht="15" customHeight="1" hidden="1">
      <c r="B40" s="304" t="s">
        <v>30</v>
      </c>
      <c r="C40" s="304"/>
      <c r="D40" s="247"/>
      <c r="E40" s="298"/>
      <c r="F40" s="265"/>
      <c r="G40" s="259"/>
      <c r="H40" s="264"/>
      <c r="I40" s="265"/>
      <c r="J40" s="265"/>
      <c r="K40" s="270"/>
      <c r="L40" s="254"/>
    </row>
    <row r="41" spans="2:12" ht="15" customHeight="1">
      <c r="B41" s="304" t="s">
        <v>8</v>
      </c>
      <c r="C41" s="304"/>
      <c r="D41" s="247"/>
      <c r="E41" s="298">
        <v>195</v>
      </c>
      <c r="F41" s="266" t="e">
        <v>#REF!</v>
      </c>
      <c r="G41" s="259"/>
      <c r="H41" s="262">
        <v>3493284</v>
      </c>
      <c r="I41" s="266" t="e">
        <v>#REF!</v>
      </c>
      <c r="J41" s="266"/>
      <c r="K41" s="263">
        <v>50177</v>
      </c>
      <c r="L41" s="256"/>
    </row>
    <row r="42" spans="2:12" ht="15" customHeight="1">
      <c r="B42" s="305" t="s">
        <v>9</v>
      </c>
      <c r="C42" s="305"/>
      <c r="D42" s="271"/>
      <c r="E42" s="296">
        <f>E46</f>
        <v>364103</v>
      </c>
      <c r="F42" s="267"/>
      <c r="G42" s="259"/>
      <c r="H42" s="259"/>
      <c r="I42" s="267"/>
      <c r="J42" s="267"/>
      <c r="K42" s="261">
        <v>209</v>
      </c>
      <c r="L42" s="255"/>
    </row>
    <row r="43" spans="2:12" ht="15" customHeight="1">
      <c r="B43" s="305" t="s">
        <v>6</v>
      </c>
      <c r="C43" s="305"/>
      <c r="D43" s="271"/>
      <c r="E43" s="296"/>
      <c r="F43" s="264"/>
      <c r="G43" s="259"/>
      <c r="H43" s="259"/>
      <c r="I43" s="264"/>
      <c r="J43" s="264"/>
      <c r="K43" s="258"/>
      <c r="L43" s="254"/>
    </row>
    <row r="44" spans="2:12" ht="15" customHeight="1">
      <c r="B44" s="304" t="s">
        <v>31</v>
      </c>
      <c r="C44" s="304"/>
      <c r="D44" s="247"/>
      <c r="E44" s="298"/>
      <c r="F44" s="264"/>
      <c r="G44" s="259"/>
      <c r="H44" s="259"/>
      <c r="I44" s="264"/>
      <c r="J44" s="264"/>
      <c r="K44" s="270"/>
      <c r="L44" s="254"/>
    </row>
    <row r="45" spans="2:12" ht="15" customHeight="1" hidden="1">
      <c r="B45" s="304" t="s">
        <v>32</v>
      </c>
      <c r="C45" s="304"/>
      <c r="D45" s="247"/>
      <c r="E45" s="298"/>
      <c r="F45" s="264"/>
      <c r="G45" s="259"/>
      <c r="H45" s="264"/>
      <c r="I45" s="264"/>
      <c r="J45" s="264"/>
      <c r="K45" s="270"/>
      <c r="L45" s="254"/>
    </row>
    <row r="46" spans="2:12" ht="15" customHeight="1">
      <c r="B46" s="304" t="s">
        <v>33</v>
      </c>
      <c r="C46" s="304"/>
      <c r="D46" s="247"/>
      <c r="E46" s="297">
        <v>364103</v>
      </c>
      <c r="F46" s="264"/>
      <c r="G46" s="259"/>
      <c r="H46" s="264"/>
      <c r="I46" s="264"/>
      <c r="J46" s="264"/>
      <c r="K46" s="263">
        <v>209</v>
      </c>
      <c r="L46" s="254"/>
    </row>
    <row r="47" spans="2:12" ht="15" customHeight="1">
      <c r="B47" s="305" t="s">
        <v>34</v>
      </c>
      <c r="C47" s="305"/>
      <c r="D47" s="271"/>
      <c r="E47" s="296">
        <f>E37-E42</f>
        <v>-363908</v>
      </c>
      <c r="F47" s="264"/>
      <c r="G47" s="259"/>
      <c r="H47" s="264"/>
      <c r="I47" s="264"/>
      <c r="J47" s="264"/>
      <c r="K47" s="268">
        <v>96019</v>
      </c>
      <c r="L47" s="254"/>
    </row>
    <row r="48" spans="2:12" ht="15" customHeight="1">
      <c r="B48" s="305" t="s">
        <v>35</v>
      </c>
      <c r="C48" s="305"/>
      <c r="D48" s="271"/>
      <c r="E48" s="296"/>
      <c r="F48" s="264"/>
      <c r="G48" s="259"/>
      <c r="H48" s="264"/>
      <c r="I48" s="264"/>
      <c r="J48" s="264"/>
      <c r="K48" s="258"/>
      <c r="L48" s="254"/>
    </row>
    <row r="49" spans="2:12" ht="15" customHeight="1">
      <c r="B49" s="305" t="s">
        <v>146</v>
      </c>
      <c r="C49" s="305"/>
      <c r="D49" s="271"/>
      <c r="E49" s="296">
        <f>E51</f>
        <v>662875</v>
      </c>
      <c r="F49" s="264"/>
      <c r="G49" s="259"/>
      <c r="H49" s="259"/>
      <c r="I49" s="264"/>
      <c r="J49" s="264"/>
      <c r="K49" s="261">
        <v>1091692</v>
      </c>
      <c r="L49" s="254"/>
    </row>
    <row r="50" spans="2:12" ht="15" customHeight="1">
      <c r="B50" s="304" t="s">
        <v>6</v>
      </c>
      <c r="C50" s="304"/>
      <c r="D50" s="247"/>
      <c r="E50" s="297"/>
      <c r="F50" s="264"/>
      <c r="G50" s="259"/>
      <c r="H50" s="259"/>
      <c r="I50" s="264"/>
      <c r="J50" s="264"/>
      <c r="K50" s="263"/>
      <c r="L50" s="255"/>
    </row>
    <row r="51" spans="2:12" ht="15" customHeight="1">
      <c r="B51" s="304" t="s">
        <v>8</v>
      </c>
      <c r="C51" s="304"/>
      <c r="D51" s="247"/>
      <c r="E51" s="298">
        <f>67320+595555</f>
        <v>662875</v>
      </c>
      <c r="F51" s="269"/>
      <c r="G51" s="259"/>
      <c r="H51" s="259"/>
      <c r="I51" s="269"/>
      <c r="J51" s="269"/>
      <c r="K51" s="270">
        <v>1091692</v>
      </c>
      <c r="L51" s="255"/>
    </row>
    <row r="52" spans="2:12" ht="15" customHeight="1">
      <c r="B52" s="305" t="s">
        <v>9</v>
      </c>
      <c r="C52" s="305"/>
      <c r="D52" s="271"/>
      <c r="E52" s="296">
        <f>E56</f>
        <v>291441</v>
      </c>
      <c r="F52" s="269"/>
      <c r="G52" s="259"/>
      <c r="H52" s="259"/>
      <c r="I52" s="269"/>
      <c r="J52" s="269"/>
      <c r="K52" s="261">
        <v>1192527</v>
      </c>
      <c r="L52" s="254"/>
    </row>
    <row r="53" spans="2:12" ht="15" customHeight="1">
      <c r="B53" s="304" t="s">
        <v>6</v>
      </c>
      <c r="C53" s="304"/>
      <c r="D53" s="247"/>
      <c r="E53" s="297"/>
      <c r="F53" s="264"/>
      <c r="G53" s="259"/>
      <c r="H53" s="264"/>
      <c r="I53" s="264"/>
      <c r="J53" s="264"/>
      <c r="K53" s="258"/>
      <c r="L53" s="255"/>
    </row>
    <row r="54" spans="2:12" ht="15" customHeight="1" hidden="1">
      <c r="B54" s="203" t="s">
        <v>172</v>
      </c>
      <c r="C54" s="203"/>
      <c r="D54" s="273"/>
      <c r="E54" s="298"/>
      <c r="F54" s="264"/>
      <c r="G54" s="260"/>
      <c r="H54" s="264"/>
      <c r="I54" s="264"/>
      <c r="J54" s="264"/>
      <c r="K54" s="270"/>
      <c r="L54" s="255"/>
    </row>
    <row r="55" spans="2:12" ht="15" customHeight="1">
      <c r="B55" s="304" t="s">
        <v>187</v>
      </c>
      <c r="C55" s="304"/>
      <c r="D55" s="247"/>
      <c r="E55" s="298"/>
      <c r="F55" s="264"/>
      <c r="G55" s="260"/>
      <c r="H55" s="264"/>
      <c r="I55" s="264"/>
      <c r="J55" s="264"/>
      <c r="K55" s="270">
        <v>1202</v>
      </c>
      <c r="L55" s="254"/>
    </row>
    <row r="56" spans="2:12" ht="15" customHeight="1">
      <c r="B56" s="304" t="s">
        <v>27</v>
      </c>
      <c r="C56" s="304"/>
      <c r="D56" s="247"/>
      <c r="E56" s="298">
        <f>99932+48206-2+143305</f>
        <v>291441</v>
      </c>
      <c r="F56" s="264"/>
      <c r="G56" s="264"/>
      <c r="H56" s="264"/>
      <c r="I56" s="264"/>
      <c r="J56" s="264"/>
      <c r="K56" s="270">
        <v>1191325</v>
      </c>
      <c r="L56" s="254"/>
    </row>
    <row r="57" spans="2:12" ht="15" customHeight="1">
      <c r="B57" s="305" t="s">
        <v>36</v>
      </c>
      <c r="C57" s="305"/>
      <c r="D57" s="271"/>
      <c r="E57" s="296">
        <f>E49-E52</f>
        <v>371434</v>
      </c>
      <c r="F57" s="268"/>
      <c r="G57" s="268"/>
      <c r="H57" s="268"/>
      <c r="I57" s="268"/>
      <c r="J57" s="268"/>
      <c r="K57" s="268">
        <v>-100835</v>
      </c>
      <c r="L57" s="255"/>
    </row>
    <row r="58" spans="2:12" ht="15" customHeight="1">
      <c r="B58" s="305" t="s">
        <v>37</v>
      </c>
      <c r="C58" s="305"/>
      <c r="D58" s="271"/>
      <c r="E58" s="296">
        <f>E35++E47+E57</f>
        <v>-4199</v>
      </c>
      <c r="F58" s="264"/>
      <c r="G58" s="264"/>
      <c r="H58" s="264"/>
      <c r="I58" s="264"/>
      <c r="J58" s="264"/>
      <c r="K58" s="261">
        <v>6852</v>
      </c>
      <c r="L58" s="254"/>
    </row>
    <row r="59" spans="2:12" ht="15" customHeight="1">
      <c r="B59" s="305" t="s">
        <v>38</v>
      </c>
      <c r="C59" s="305"/>
      <c r="D59" s="271"/>
      <c r="E59" s="296">
        <v>4642</v>
      </c>
      <c r="F59" s="269"/>
      <c r="G59" s="264"/>
      <c r="H59" s="260"/>
      <c r="I59" s="269"/>
      <c r="J59" s="269"/>
      <c r="K59" s="261">
        <v>19789</v>
      </c>
      <c r="L59" s="254"/>
    </row>
    <row r="60" spans="2:12" ht="15" customHeight="1">
      <c r="B60" s="305" t="s">
        <v>39</v>
      </c>
      <c r="C60" s="305"/>
      <c r="D60" s="271"/>
      <c r="E60" s="296">
        <f>E58+E59</f>
        <v>443</v>
      </c>
      <c r="F60" s="266">
        <v>0</v>
      </c>
      <c r="G60" s="266">
        <v>0</v>
      </c>
      <c r="H60" s="266">
        <v>0</v>
      </c>
      <c r="I60" s="266">
        <v>0</v>
      </c>
      <c r="J60" s="266"/>
      <c r="K60" s="261">
        <v>26641</v>
      </c>
      <c r="L60" s="254"/>
    </row>
    <row r="61" spans="2:12" ht="15" customHeight="1">
      <c r="B61" s="257"/>
      <c r="C61" s="257"/>
      <c r="D61" s="257"/>
      <c r="E61" s="122"/>
      <c r="F61" s="242"/>
      <c r="G61" s="242"/>
      <c r="H61" s="242"/>
      <c r="I61" s="242"/>
      <c r="J61" s="242"/>
      <c r="K61" s="122"/>
      <c r="L61" s="254"/>
    </row>
    <row r="62" spans="2:12" ht="15" customHeight="1">
      <c r="B62" s="257"/>
      <c r="C62" s="257"/>
      <c r="D62" s="257"/>
      <c r="E62" s="122"/>
      <c r="F62" s="242"/>
      <c r="G62" s="242"/>
      <c r="H62" s="242"/>
      <c r="I62" s="242"/>
      <c r="J62" s="242"/>
      <c r="K62" s="122"/>
      <c r="L62" s="254"/>
    </row>
    <row r="63" spans="5:12" ht="15" customHeight="1">
      <c r="E63" s="53"/>
      <c r="F63" s="243" t="e">
        <v>#REF!</v>
      </c>
      <c r="G63" s="243" t="e">
        <v>#REF!</v>
      </c>
      <c r="H63" s="243" t="e">
        <v>#REF!</v>
      </c>
      <c r="I63" s="243" t="e">
        <v>#REF!</v>
      </c>
      <c r="J63" s="245"/>
      <c r="L63" s="254"/>
    </row>
    <row r="64" spans="2:12" ht="15" customHeight="1">
      <c r="B64" s="142" t="s">
        <v>305</v>
      </c>
      <c r="C64" s="277"/>
      <c r="D64" s="277"/>
      <c r="E64" s="310" t="s">
        <v>304</v>
      </c>
      <c r="F64" s="310"/>
      <c r="G64" s="142"/>
      <c r="H64" s="205"/>
      <c r="I64" s="243"/>
      <c r="J64" s="245"/>
      <c r="L64" s="254"/>
    </row>
    <row r="65" spans="2:12" ht="15" customHeight="1">
      <c r="B65" s="141"/>
      <c r="C65" s="141"/>
      <c r="D65" s="141"/>
      <c r="E65" s="278"/>
      <c r="F65" s="142"/>
      <c r="G65" s="142"/>
      <c r="H65" s="243" t="e">
        <v>#REF!</v>
      </c>
      <c r="I65" s="243" t="e">
        <v>#REF!</v>
      </c>
      <c r="J65" s="245"/>
      <c r="L65" s="255"/>
    </row>
    <row r="66" spans="2:12" ht="15" customHeight="1">
      <c r="B66" s="142" t="s">
        <v>5</v>
      </c>
      <c r="C66" s="141"/>
      <c r="D66" s="141"/>
      <c r="E66" s="279" t="s">
        <v>139</v>
      </c>
      <c r="F66" s="311" t="s">
        <v>119</v>
      </c>
      <c r="G66" s="311"/>
      <c r="I66"/>
      <c r="J66"/>
      <c r="L66" s="256"/>
    </row>
    <row r="67" spans="5:12" ht="15" customHeight="1">
      <c r="E67" s="246"/>
      <c r="F67"/>
      <c r="I67"/>
      <c r="J67"/>
      <c r="L67" s="255"/>
    </row>
    <row r="68" spans="5:12" ht="15" customHeight="1">
      <c r="E68" s="244"/>
      <c r="F68"/>
      <c r="I68"/>
      <c r="J68"/>
      <c r="L68" s="255"/>
    </row>
    <row r="69" spans="5:10" ht="15" customHeight="1">
      <c r="E69"/>
      <c r="F69"/>
      <c r="I69"/>
      <c r="J69"/>
    </row>
    <row r="70" spans="5:10" ht="15" customHeight="1">
      <c r="E70"/>
      <c r="F70"/>
      <c r="I70"/>
      <c r="J70"/>
    </row>
    <row r="71" spans="5:10" ht="15" customHeight="1">
      <c r="E71" s="244"/>
      <c r="F71"/>
      <c r="I71"/>
      <c r="J71"/>
    </row>
    <row r="72" spans="5:10" ht="15" customHeight="1">
      <c r="E72"/>
      <c r="F72"/>
      <c r="I72"/>
      <c r="J72"/>
    </row>
    <row r="73" spans="5:10" ht="15" customHeight="1">
      <c r="E73"/>
      <c r="F73" t="s">
        <v>140</v>
      </c>
      <c r="I73" t="s">
        <v>140</v>
      </c>
      <c r="J73"/>
    </row>
    <row r="74" spans="5:10" ht="15" customHeight="1">
      <c r="E74"/>
      <c r="F74"/>
      <c r="I74"/>
      <c r="J74"/>
    </row>
    <row r="75" spans="5:10" ht="15" customHeight="1">
      <c r="E75"/>
      <c r="F75"/>
      <c r="I75"/>
      <c r="J75"/>
    </row>
    <row r="76" spans="5:10" ht="15" customHeight="1">
      <c r="E76"/>
      <c r="F76">
        <v>5663</v>
      </c>
      <c r="I76">
        <v>457025</v>
      </c>
      <c r="J76"/>
    </row>
    <row r="77" spans="5:10" ht="15" customHeight="1">
      <c r="E77"/>
      <c r="F77" s="50" t="e">
        <v>#REF!</v>
      </c>
      <c r="I77" s="50" t="e">
        <v>#REF!</v>
      </c>
      <c r="J77" s="50"/>
    </row>
    <row r="78" spans="5:10" ht="15" customHeight="1">
      <c r="E78"/>
      <c r="F78"/>
      <c r="I78"/>
      <c r="J78"/>
    </row>
    <row r="79" spans="5:10" ht="15" customHeight="1">
      <c r="E79"/>
      <c r="F79" s="244" t="e">
        <v>#REF!</v>
      </c>
      <c r="I79"/>
      <c r="J79"/>
    </row>
    <row r="80" spans="5:10" ht="15" customHeight="1">
      <c r="E80"/>
      <c r="F80"/>
      <c r="I80"/>
      <c r="J80"/>
    </row>
    <row r="81" spans="9:10" ht="15" customHeight="1">
      <c r="I81"/>
      <c r="J81"/>
    </row>
    <row r="82" spans="9:10" ht="15" customHeight="1">
      <c r="I82"/>
      <c r="J82"/>
    </row>
    <row r="83" spans="9:10" ht="15" customHeight="1">
      <c r="I83"/>
      <c r="J83"/>
    </row>
    <row r="84" spans="9:10" ht="15" customHeight="1">
      <c r="I84"/>
      <c r="J84"/>
    </row>
    <row r="85" spans="7:10" ht="15" customHeight="1">
      <c r="G85" s="48" t="s">
        <v>126</v>
      </c>
      <c r="H85" s="1"/>
      <c r="I85" s="1"/>
      <c r="J85" s="1"/>
    </row>
    <row r="86" spans="7:10" ht="15" customHeight="1">
      <c r="G86" s="274"/>
      <c r="H86" s="1"/>
      <c r="I86" s="1"/>
      <c r="J86" s="1"/>
    </row>
    <row r="87" spans="7:10" ht="15" customHeight="1">
      <c r="G87" s="275"/>
      <c r="H87" s="1"/>
      <c r="I87" s="1"/>
      <c r="J87" s="1"/>
    </row>
    <row r="88" spans="7:10" ht="15" customHeight="1">
      <c r="G88" s="1"/>
      <c r="H88" s="1"/>
      <c r="I88" s="1"/>
      <c r="J88" s="1"/>
    </row>
    <row r="89" spans="7:10" ht="15" customHeight="1">
      <c r="G89" s="303"/>
      <c r="H89" s="303"/>
      <c r="I89" s="303"/>
      <c r="J89" s="303"/>
    </row>
    <row r="90" spans="7:10" ht="15" customHeight="1" thickBot="1">
      <c r="G90" s="1"/>
      <c r="H90" s="1"/>
      <c r="I90" s="1"/>
      <c r="J90" s="1"/>
    </row>
    <row r="91" spans="7:10" ht="15" customHeight="1">
      <c r="G91" s="206"/>
      <c r="H91" s="207"/>
      <c r="I91" s="207"/>
      <c r="J91" s="207"/>
    </row>
    <row r="92" spans="7:10" ht="15" customHeight="1" thickBot="1">
      <c r="G92" s="209"/>
      <c r="H92" s="210"/>
      <c r="I92" s="210"/>
      <c r="J92" s="210"/>
    </row>
    <row r="93" spans="7:10" ht="15" customHeight="1" thickBot="1">
      <c r="G93" s="212"/>
      <c r="H93" s="213"/>
      <c r="I93" s="214"/>
      <c r="J93" s="214"/>
    </row>
    <row r="94" spans="7:10" ht="15" customHeight="1">
      <c r="G94" s="218"/>
      <c r="H94" s="219"/>
      <c r="I94" s="220"/>
      <c r="J94" s="220"/>
    </row>
    <row r="95" spans="7:10" ht="15" customHeight="1">
      <c r="G95" s="224"/>
      <c r="H95" s="225"/>
      <c r="I95" s="226"/>
      <c r="J95" s="226"/>
    </row>
    <row r="96" spans="7:10" ht="15" customHeight="1">
      <c r="G96" s="224"/>
      <c r="H96" s="225"/>
      <c r="I96" s="222"/>
      <c r="J96" s="222"/>
    </row>
    <row r="97" spans="7:10" ht="15" customHeight="1">
      <c r="G97" s="224"/>
      <c r="H97" s="225"/>
      <c r="I97" s="227"/>
      <c r="J97" s="227"/>
    </row>
    <row r="98" spans="7:10" ht="15" customHeight="1">
      <c r="G98" s="224"/>
      <c r="H98" s="225"/>
      <c r="I98" s="226"/>
      <c r="J98" s="226"/>
    </row>
    <row r="99" spans="7:10" ht="15" customHeight="1">
      <c r="G99" s="228"/>
      <c r="H99" s="229"/>
      <c r="I99" s="230"/>
      <c r="J99" s="230"/>
    </row>
    <row r="100" spans="7:10" ht="12.75">
      <c r="G100" s="218"/>
      <c r="H100" s="219"/>
      <c r="I100" s="220"/>
      <c r="J100" s="220"/>
    </row>
    <row r="101" spans="7:10" ht="12.75">
      <c r="G101" s="218"/>
      <c r="H101" s="219"/>
      <c r="I101" s="220"/>
      <c r="J101" s="220"/>
    </row>
    <row r="102" spans="7:10" ht="12.75">
      <c r="G102" s="224"/>
      <c r="H102" s="225"/>
      <c r="I102" s="226"/>
      <c r="J102" s="226"/>
    </row>
    <row r="103" spans="7:10" ht="12.75">
      <c r="G103" s="224"/>
      <c r="H103" s="225"/>
      <c r="I103" s="222"/>
      <c r="J103" s="222"/>
    </row>
    <row r="104" spans="7:10" ht="12.75">
      <c r="G104" s="224"/>
      <c r="H104" s="225"/>
      <c r="I104" s="226"/>
      <c r="J104" s="226"/>
    </row>
    <row r="105" spans="7:10" ht="12.75">
      <c r="G105" s="224"/>
      <c r="H105" s="225"/>
      <c r="I105" s="226"/>
      <c r="J105" s="226"/>
    </row>
    <row r="106" spans="7:10" ht="15" customHeight="1">
      <c r="G106" s="224"/>
      <c r="H106" s="225"/>
      <c r="I106" s="226"/>
      <c r="J106" s="226"/>
    </row>
    <row r="107" spans="7:10" ht="12.75">
      <c r="G107" s="224"/>
      <c r="H107" s="225"/>
      <c r="I107" s="227"/>
      <c r="J107" s="227"/>
    </row>
    <row r="108" spans="7:10" ht="13.5" customHeight="1">
      <c r="G108" s="228"/>
      <c r="H108" s="229"/>
      <c r="I108" s="230"/>
      <c r="J108" s="230"/>
    </row>
    <row r="109" spans="7:10" ht="13.5" customHeight="1" thickBot="1">
      <c r="G109" s="218"/>
      <c r="H109" s="219"/>
      <c r="I109" s="220"/>
      <c r="J109" s="220"/>
    </row>
    <row r="110" spans="7:10" ht="12.75">
      <c r="G110" s="237"/>
      <c r="H110" s="238"/>
      <c r="I110" s="232"/>
      <c r="J110" s="232"/>
    </row>
    <row r="111" spans="7:10" ht="13.5" thickBot="1">
      <c r="G111" s="239"/>
      <c r="H111" s="240"/>
      <c r="I111" s="241"/>
      <c r="J111" s="241"/>
    </row>
    <row r="113" spans="7:10" ht="12.75">
      <c r="G113" s="48" t="s">
        <v>126</v>
      </c>
      <c r="H113" s="1"/>
      <c r="I113" s="1" t="s">
        <v>125</v>
      </c>
      <c r="J113" s="1"/>
    </row>
    <row r="114" spans="7:10" ht="12.75" customHeight="1">
      <c r="G114" s="274" t="s">
        <v>141</v>
      </c>
      <c r="H114" s="1"/>
      <c r="I114" s="1"/>
      <c r="J114" s="1"/>
    </row>
    <row r="115" spans="7:10" ht="12.75">
      <c r="G115" s="275" t="s">
        <v>135</v>
      </c>
      <c r="H115" s="1"/>
      <c r="I115" s="1"/>
      <c r="J115" s="1"/>
    </row>
    <row r="116" spans="7:10" ht="12.75">
      <c r="G116" s="1"/>
      <c r="H116" s="1"/>
      <c r="I116" s="1"/>
      <c r="J116" s="1"/>
    </row>
    <row r="117" spans="7:10" ht="12.75" customHeight="1">
      <c r="G117" s="303" t="s">
        <v>130</v>
      </c>
      <c r="H117" s="303"/>
      <c r="I117" s="303"/>
      <c r="J117" s="204"/>
    </row>
    <row r="118" spans="7:10" ht="13.5" thickBot="1">
      <c r="G118" s="1"/>
      <c r="H118" s="1"/>
      <c r="I118" s="1"/>
      <c r="J118" s="1"/>
    </row>
    <row r="119" spans="7:10" ht="12.75">
      <c r="G119" s="206" t="s">
        <v>131</v>
      </c>
      <c r="H119" s="207" t="s">
        <v>132</v>
      </c>
      <c r="I119" s="208" t="s">
        <v>133</v>
      </c>
      <c r="J119" s="247"/>
    </row>
    <row r="120" spans="7:10" ht="13.5" thickBot="1">
      <c r="G120" s="209"/>
      <c r="H120" s="210"/>
      <c r="I120" s="211"/>
      <c r="J120" s="247"/>
    </row>
    <row r="121" spans="7:10" ht="13.5" thickBot="1">
      <c r="G121" s="216" t="s">
        <v>134</v>
      </c>
      <c r="H121" s="215">
        <v>-11693204.13</v>
      </c>
      <c r="I121" s="217"/>
      <c r="J121" s="248"/>
    </row>
    <row r="122" spans="7:10" ht="12.75">
      <c r="G122" s="249">
        <v>0</v>
      </c>
      <c r="H122" s="227"/>
      <c r="I122" s="223">
        <v>931036</v>
      </c>
      <c r="J122" s="250"/>
    </row>
    <row r="123" spans="7:10" ht="13.5" thickBot="1">
      <c r="G123" s="221">
        <v>7200</v>
      </c>
      <c r="H123" s="227"/>
      <c r="I123" s="223">
        <v>182373.87</v>
      </c>
      <c r="J123" s="250"/>
    </row>
    <row r="124" spans="7:10" ht="12.75">
      <c r="G124" s="231" t="s">
        <v>136</v>
      </c>
      <c r="H124" s="251"/>
      <c r="I124" s="233">
        <v>1113409.87</v>
      </c>
      <c r="J124" s="250"/>
    </row>
    <row r="125" spans="7:10" ht="13.5" thickBot="1">
      <c r="G125" s="234" t="s">
        <v>137</v>
      </c>
      <c r="H125" s="235">
        <v>-12806614</v>
      </c>
      <c r="I125" s="236"/>
      <c r="J125" s="248"/>
    </row>
    <row r="128" spans="7:10" ht="12.75">
      <c r="G128" s="48"/>
      <c r="H128" s="1"/>
      <c r="I128" s="1"/>
      <c r="J128" s="1"/>
    </row>
    <row r="129" spans="7:10" ht="15" customHeight="1">
      <c r="G129" s="274"/>
      <c r="H129" s="1"/>
      <c r="I129" s="1"/>
      <c r="J129" s="1"/>
    </row>
    <row r="130" spans="7:10" ht="12.75">
      <c r="G130" s="275"/>
      <c r="H130" s="1"/>
      <c r="I130" s="1"/>
      <c r="J130" s="1"/>
    </row>
    <row r="131" spans="7:10" ht="12.75">
      <c r="G131" s="303"/>
      <c r="H131" s="303"/>
      <c r="I131" s="303"/>
      <c r="J131" s="303"/>
    </row>
    <row r="132" spans="7:10" ht="12.75">
      <c r="G132" s="303"/>
      <c r="H132" s="303"/>
      <c r="I132" s="303"/>
      <c r="J132" s="303"/>
    </row>
    <row r="133" spans="7:10" ht="13.5" thickBot="1">
      <c r="G133" s="1"/>
      <c r="H133" s="1"/>
      <c r="I133" s="1"/>
      <c r="J133" s="1"/>
    </row>
    <row r="134" spans="7:10" ht="12.75">
      <c r="G134" s="206"/>
      <c r="H134" s="207"/>
      <c r="I134" s="207"/>
      <c r="J134" s="207"/>
    </row>
    <row r="135" spans="7:10" ht="13.5" thickBot="1">
      <c r="G135" s="209"/>
      <c r="H135" s="210"/>
      <c r="I135" s="210"/>
      <c r="J135" s="210"/>
    </row>
    <row r="136" spans="7:10" ht="13.5" thickBot="1">
      <c r="G136" s="212"/>
      <c r="H136" s="213"/>
      <c r="I136" s="214"/>
      <c r="J136" s="214"/>
    </row>
    <row r="137" spans="7:10" ht="12.75">
      <c r="G137" s="218"/>
      <c r="H137" s="219"/>
      <c r="I137" s="220"/>
      <c r="J137" s="220"/>
    </row>
    <row r="138" spans="7:10" ht="12.75">
      <c r="G138" s="224"/>
      <c r="H138" s="225"/>
      <c r="I138" s="226"/>
      <c r="J138" s="226"/>
    </row>
    <row r="139" spans="7:10" ht="12.75">
      <c r="G139" s="224"/>
      <c r="H139" s="225"/>
      <c r="I139" s="226"/>
      <c r="J139" s="226"/>
    </row>
    <row r="140" spans="7:10" ht="12.75">
      <c r="G140" s="224"/>
      <c r="H140" s="225"/>
      <c r="I140" s="226"/>
      <c r="J140" s="226"/>
    </row>
    <row r="141" spans="7:10" ht="12.75">
      <c r="G141" s="224"/>
      <c r="H141" s="225"/>
      <c r="I141" s="226"/>
      <c r="J141" s="226"/>
    </row>
    <row r="142" spans="7:10" ht="12.75">
      <c r="G142" s="224"/>
      <c r="H142" s="225"/>
      <c r="I142" s="226"/>
      <c r="J142" s="226"/>
    </row>
    <row r="143" spans="7:10" ht="12.75">
      <c r="G143" s="224"/>
      <c r="H143" s="225"/>
      <c r="I143" s="226"/>
      <c r="J143" s="226"/>
    </row>
    <row r="144" spans="7:10" ht="12.75">
      <c r="G144" s="224"/>
      <c r="H144" s="225"/>
      <c r="I144" s="226"/>
      <c r="J144" s="226"/>
    </row>
    <row r="145" spans="7:10" ht="12.75">
      <c r="G145" s="224"/>
      <c r="H145" s="225"/>
      <c r="I145" s="226"/>
      <c r="J145" s="226"/>
    </row>
    <row r="146" spans="7:10" ht="12.75">
      <c r="G146" s="224"/>
      <c r="H146" s="225"/>
      <c r="I146" s="227"/>
      <c r="J146" s="227"/>
    </row>
    <row r="147" spans="7:10" ht="12.75">
      <c r="G147" s="224"/>
      <c r="H147" s="225"/>
      <c r="I147" s="227"/>
      <c r="J147" s="227"/>
    </row>
    <row r="148" spans="7:10" ht="12.75">
      <c r="G148" s="224"/>
      <c r="H148" s="225"/>
      <c r="I148" s="227"/>
      <c r="J148" s="227"/>
    </row>
    <row r="149" spans="7:10" ht="12.75">
      <c r="G149" s="228"/>
      <c r="H149" s="229"/>
      <c r="I149" s="230"/>
      <c r="J149" s="230"/>
    </row>
    <row r="150" spans="7:10" ht="12.75">
      <c r="G150" s="218"/>
      <c r="H150" s="219"/>
      <c r="I150" s="220"/>
      <c r="J150" s="220"/>
    </row>
    <row r="151" spans="7:10" ht="12.75">
      <c r="G151" s="218"/>
      <c r="H151" s="219"/>
      <c r="I151" s="220"/>
      <c r="J151" s="220"/>
    </row>
    <row r="152" spans="7:10" ht="12.75">
      <c r="G152" s="224"/>
      <c r="H152" s="225"/>
      <c r="I152" s="226"/>
      <c r="J152" s="226"/>
    </row>
    <row r="153" spans="7:10" ht="12.75">
      <c r="G153" s="224"/>
      <c r="H153" s="225"/>
      <c r="I153" s="226"/>
      <c r="J153" s="226"/>
    </row>
    <row r="154" spans="7:10" ht="12.75">
      <c r="G154" s="224"/>
      <c r="H154" s="225"/>
      <c r="I154" s="226"/>
      <c r="J154" s="226"/>
    </row>
    <row r="155" spans="7:10" ht="12.75" customHeight="1">
      <c r="G155" s="224"/>
      <c r="H155" s="225"/>
      <c r="I155" s="226"/>
      <c r="J155" s="226"/>
    </row>
    <row r="156" spans="7:10" ht="12.75" customHeight="1">
      <c r="G156" s="224"/>
      <c r="H156" s="225"/>
      <c r="I156" s="226"/>
      <c r="J156" s="226"/>
    </row>
    <row r="157" spans="7:10" ht="12.75">
      <c r="G157" s="224"/>
      <c r="H157" s="225"/>
      <c r="I157" s="226"/>
      <c r="J157" s="226"/>
    </row>
    <row r="158" spans="7:10" ht="12.75">
      <c r="G158" s="224"/>
      <c r="H158" s="225"/>
      <c r="I158" s="226"/>
      <c r="J158" s="226"/>
    </row>
    <row r="159" spans="7:10" ht="12.75">
      <c r="G159" s="224"/>
      <c r="H159" s="225"/>
      <c r="I159" s="227"/>
      <c r="J159" s="227"/>
    </row>
    <row r="160" spans="7:10" ht="12.75">
      <c r="G160" s="224"/>
      <c r="H160" s="225"/>
      <c r="I160" s="227"/>
      <c r="J160" s="227"/>
    </row>
    <row r="161" spans="7:10" ht="12.75">
      <c r="G161" s="224"/>
      <c r="H161" s="225"/>
      <c r="I161" s="227"/>
      <c r="J161" s="227"/>
    </row>
    <row r="162" spans="7:10" ht="12.75">
      <c r="G162" s="224"/>
      <c r="H162" s="225"/>
      <c r="I162" s="227"/>
      <c r="J162" s="227"/>
    </row>
    <row r="163" spans="7:10" ht="12.75">
      <c r="G163" s="224"/>
      <c r="H163" s="225"/>
      <c r="I163" s="227"/>
      <c r="J163" s="227"/>
    </row>
    <row r="164" spans="7:10" ht="12.75">
      <c r="G164" s="228"/>
      <c r="H164" s="229"/>
      <c r="I164" s="230"/>
      <c r="J164" s="230"/>
    </row>
    <row r="165" spans="7:10" ht="13.5" thickBot="1">
      <c r="G165" s="218"/>
      <c r="H165" s="219"/>
      <c r="I165" s="220"/>
      <c r="J165" s="220"/>
    </row>
    <row r="166" spans="7:10" ht="12.75">
      <c r="G166" s="237"/>
      <c r="H166" s="238"/>
      <c r="I166" s="232"/>
      <c r="J166" s="232"/>
    </row>
    <row r="167" spans="7:10" ht="13.5" thickBot="1">
      <c r="G167" s="239"/>
      <c r="H167" s="240"/>
      <c r="I167" s="241"/>
      <c r="J167" s="241"/>
    </row>
    <row r="183" ht="12.75" customHeight="1"/>
    <row r="184" ht="12.75" customHeight="1"/>
    <row r="246" ht="12.75" customHeight="1"/>
  </sheetData>
  <sheetProtection/>
  <mergeCells count="60">
    <mergeCell ref="G132:J132"/>
    <mergeCell ref="G117:I117"/>
    <mergeCell ref="G89:J89"/>
    <mergeCell ref="B9:C9"/>
    <mergeCell ref="B10:C10"/>
    <mergeCell ref="B11:C11"/>
    <mergeCell ref="B14:C14"/>
    <mergeCell ref="B12:C12"/>
    <mergeCell ref="B18:C18"/>
    <mergeCell ref="B13:C13"/>
    <mergeCell ref="B15:C15"/>
    <mergeCell ref="B16:C16"/>
    <mergeCell ref="B17:C17"/>
    <mergeCell ref="B32:C32"/>
    <mergeCell ref="B34:C34"/>
    <mergeCell ref="B36:C36"/>
    <mergeCell ref="B19:C19"/>
    <mergeCell ref="B20:C20"/>
    <mergeCell ref="B21:C21"/>
    <mergeCell ref="B22:C22"/>
    <mergeCell ref="B51:C51"/>
    <mergeCell ref="B52:C52"/>
    <mergeCell ref="B53:C53"/>
    <mergeCell ref="B55:C55"/>
    <mergeCell ref="B60:C60"/>
    <mergeCell ref="B56:C56"/>
    <mergeCell ref="B57:C57"/>
    <mergeCell ref="B42:C42"/>
    <mergeCell ref="B43:C43"/>
    <mergeCell ref="B44:C44"/>
    <mergeCell ref="B48:C48"/>
    <mergeCell ref="B49:C49"/>
    <mergeCell ref="B50:C50"/>
    <mergeCell ref="B45:C45"/>
    <mergeCell ref="B35:C35"/>
    <mergeCell ref="B23:C23"/>
    <mergeCell ref="B24:C24"/>
    <mergeCell ref="B25:C25"/>
    <mergeCell ref="B29:C29"/>
    <mergeCell ref="B30:C30"/>
    <mergeCell ref="B4:E4"/>
    <mergeCell ref="B5:E5"/>
    <mergeCell ref="E7:G7"/>
    <mergeCell ref="B8:C8"/>
    <mergeCell ref="E64:F64"/>
    <mergeCell ref="F66:G66"/>
    <mergeCell ref="B46:C46"/>
    <mergeCell ref="B47:C47"/>
    <mergeCell ref="B58:C58"/>
    <mergeCell ref="B59:C59"/>
    <mergeCell ref="G131:J131"/>
    <mergeCell ref="B26:C26"/>
    <mergeCell ref="B27:C27"/>
    <mergeCell ref="B28:C28"/>
    <mergeCell ref="B31:C31"/>
    <mergeCell ref="B38:C38"/>
    <mergeCell ref="B39:C39"/>
    <mergeCell ref="B40:C40"/>
    <mergeCell ref="B37:C37"/>
    <mergeCell ref="B41:C41"/>
  </mergeCells>
  <printOptions/>
  <pageMargins left="0.96" right="0.7480314960629921" top="0.5905511811023623" bottom="0.5905511811023623" header="0.5118110236220472" footer="0.5118110236220472"/>
  <pageSetup horizontalDpi="600" verticalDpi="600" orientation="portrait" paperSize="9" scale="74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S85"/>
  <sheetViews>
    <sheetView tabSelected="1" zoomScalePageLayoutView="0" workbookViewId="0" topLeftCell="A1">
      <selection activeCell="B79" sqref="B79"/>
    </sheetView>
  </sheetViews>
  <sheetFormatPr defaultColWidth="9.00390625" defaultRowHeight="12.75"/>
  <cols>
    <col min="1" max="1" width="2.75390625" style="17" customWidth="1"/>
    <col min="2" max="2" width="43.125" style="17" customWidth="1"/>
    <col min="3" max="3" width="5.25390625" style="17" customWidth="1"/>
    <col min="4" max="4" width="11.875" style="17" customWidth="1"/>
    <col min="5" max="5" width="14.00390625" style="17" customWidth="1"/>
    <col min="6" max="6" width="13.875" style="17" hidden="1" customWidth="1"/>
    <col min="7" max="7" width="14.625" style="17" hidden="1" customWidth="1"/>
    <col min="8" max="8" width="12.00390625" style="17" customWidth="1"/>
    <col min="9" max="9" width="13.00390625" style="17" customWidth="1"/>
    <col min="10" max="10" width="14.00390625" style="17" customWidth="1"/>
    <col min="11" max="11" width="13.00390625" style="17" customWidth="1"/>
    <col min="12" max="12" width="12.25390625" style="17" bestFit="1" customWidth="1"/>
    <col min="13" max="13" width="11.25390625" style="17" bestFit="1" customWidth="1"/>
    <col min="14" max="14" width="9.25390625" style="17" bestFit="1" customWidth="1"/>
    <col min="15" max="15" width="15.875" style="17" customWidth="1"/>
    <col min="16" max="16" width="15.25390625" style="17" customWidth="1"/>
    <col min="17" max="16384" width="9.125" style="17" customWidth="1"/>
  </cols>
  <sheetData>
    <row r="1" spans="2:6" ht="12.75">
      <c r="B1" s="22" t="s">
        <v>4</v>
      </c>
      <c r="C1" s="40"/>
      <c r="D1" s="41"/>
      <c r="E1" s="41"/>
      <c r="F1" s="41"/>
    </row>
    <row r="2" spans="2:6" ht="12.75">
      <c r="B2" s="22" t="s">
        <v>314</v>
      </c>
      <c r="C2" s="40"/>
      <c r="D2" s="41"/>
      <c r="E2" s="41"/>
      <c r="F2" s="41"/>
    </row>
    <row r="4" ht="15.75">
      <c r="D4" s="2" t="s">
        <v>138</v>
      </c>
    </row>
    <row r="5" ht="12.75">
      <c r="E5" s="3" t="s">
        <v>319</v>
      </c>
    </row>
    <row r="6" ht="12.75">
      <c r="K6" s="31" t="s">
        <v>55</v>
      </c>
    </row>
    <row r="7" spans="2:11" ht="15" customHeight="1">
      <c r="B7" s="312"/>
      <c r="C7" s="105"/>
      <c r="D7" s="313" t="s">
        <v>88</v>
      </c>
      <c r="E7" s="313"/>
      <c r="F7" s="313"/>
      <c r="G7" s="313"/>
      <c r="H7" s="313"/>
      <c r="I7" s="313"/>
      <c r="J7" s="313" t="s">
        <v>166</v>
      </c>
      <c r="K7" s="313" t="s">
        <v>89</v>
      </c>
    </row>
    <row r="8" spans="2:11" ht="15" customHeight="1" hidden="1">
      <c r="B8" s="312"/>
      <c r="C8" s="105" t="s">
        <v>90</v>
      </c>
      <c r="D8" s="313"/>
      <c r="E8" s="313"/>
      <c r="F8" s="313"/>
      <c r="G8" s="313"/>
      <c r="H8" s="313"/>
      <c r="I8" s="313"/>
      <c r="J8" s="313"/>
      <c r="K8" s="313"/>
    </row>
    <row r="9" spans="2:11" ht="15" customHeight="1" hidden="1">
      <c r="B9" s="312"/>
      <c r="C9" s="105" t="s">
        <v>91</v>
      </c>
      <c r="D9" s="313"/>
      <c r="E9" s="313"/>
      <c r="F9" s="313"/>
      <c r="G9" s="313"/>
      <c r="H9" s="313"/>
      <c r="I9" s="313"/>
      <c r="J9" s="313"/>
      <c r="K9" s="313"/>
    </row>
    <row r="10" spans="2:11" ht="52.5" customHeight="1">
      <c r="B10" s="312"/>
      <c r="C10" s="105"/>
      <c r="D10" s="102" t="s">
        <v>92</v>
      </c>
      <c r="E10" s="102" t="s">
        <v>93</v>
      </c>
      <c r="F10" s="102" t="s">
        <v>94</v>
      </c>
      <c r="G10" s="102" t="s">
        <v>95</v>
      </c>
      <c r="H10" s="102" t="s">
        <v>96</v>
      </c>
      <c r="I10" s="102" t="s">
        <v>97</v>
      </c>
      <c r="J10" s="313"/>
      <c r="K10" s="313"/>
    </row>
    <row r="11" spans="2:19" ht="15" customHeight="1" hidden="1">
      <c r="B11" s="57" t="s">
        <v>98</v>
      </c>
      <c r="C11" s="106"/>
      <c r="D11" s="46">
        <v>1274072</v>
      </c>
      <c r="E11" s="46">
        <v>28416095</v>
      </c>
      <c r="F11" s="46">
        <v>-1326739</v>
      </c>
      <c r="G11" s="46" t="s">
        <v>99</v>
      </c>
      <c r="H11" s="46">
        <v>1429054</v>
      </c>
      <c r="I11" s="46">
        <f>SUM(D11:H11)</f>
        <v>29792482</v>
      </c>
      <c r="J11" s="46">
        <v>669041</v>
      </c>
      <c r="K11" s="46">
        <v>30461523</v>
      </c>
      <c r="L11" s="10"/>
      <c r="M11" s="11"/>
      <c r="N11" s="10" t="s">
        <v>100</v>
      </c>
      <c r="O11" s="10" t="s">
        <v>101</v>
      </c>
      <c r="P11" s="10" t="s">
        <v>102</v>
      </c>
      <c r="Q11" s="10"/>
      <c r="R11" s="10"/>
      <c r="S11" s="10"/>
    </row>
    <row r="12" spans="2:19" ht="29.25" customHeight="1" hidden="1">
      <c r="B12" s="104" t="s">
        <v>103</v>
      </c>
      <c r="C12" s="107"/>
      <c r="D12" s="108">
        <f>-19791</f>
        <v>-19791</v>
      </c>
      <c r="E12" s="108">
        <f>-34165</f>
        <v>-34165</v>
      </c>
      <c r="F12" s="109"/>
      <c r="G12" s="109"/>
      <c r="H12" s="108">
        <f>-2022</f>
        <v>-2022</v>
      </c>
      <c r="I12" s="108">
        <f>SUM(D12:H12)</f>
        <v>-55978</v>
      </c>
      <c r="J12" s="108"/>
      <c r="K12" s="108">
        <v>-55978</v>
      </c>
      <c r="L12" s="10"/>
      <c r="M12" s="11" t="s">
        <v>104</v>
      </c>
      <c r="N12" s="10">
        <v>0.0974</v>
      </c>
      <c r="O12" s="12"/>
      <c r="P12" s="12">
        <f>+N12*O12</f>
        <v>0</v>
      </c>
      <c r="Q12" s="10"/>
      <c r="R12" s="10"/>
      <c r="S12" s="10"/>
    </row>
    <row r="13" spans="2:19" ht="15" customHeight="1" hidden="1">
      <c r="B13" s="57" t="s">
        <v>105</v>
      </c>
      <c r="C13" s="106"/>
      <c r="D13" s="46">
        <f aca="true" t="shared" si="0" ref="D13:J13">SUM(D11:D12)</f>
        <v>1254281</v>
      </c>
      <c r="E13" s="46">
        <f t="shared" si="0"/>
        <v>28381930</v>
      </c>
      <c r="F13" s="46">
        <f t="shared" si="0"/>
        <v>-1326739</v>
      </c>
      <c r="G13" s="46">
        <f t="shared" si="0"/>
        <v>0</v>
      </c>
      <c r="H13" s="46">
        <f t="shared" si="0"/>
        <v>1427032</v>
      </c>
      <c r="I13" s="46">
        <f t="shared" si="0"/>
        <v>29736504</v>
      </c>
      <c r="J13" s="46">
        <f t="shared" si="0"/>
        <v>669041</v>
      </c>
      <c r="K13" s="46">
        <f aca="true" t="shared" si="1" ref="K13:K19">I13+J13</f>
        <v>30405545</v>
      </c>
      <c r="L13" s="10"/>
      <c r="M13" s="11" t="s">
        <v>106</v>
      </c>
      <c r="N13" s="10">
        <v>0.49</v>
      </c>
      <c r="O13" s="12"/>
      <c r="P13" s="12">
        <f>+N13*O13</f>
        <v>0</v>
      </c>
      <c r="Q13" s="10"/>
      <c r="R13" s="10"/>
      <c r="S13" s="10"/>
    </row>
    <row r="14" spans="2:19" ht="15" customHeight="1" hidden="1">
      <c r="B14" s="104" t="s">
        <v>107</v>
      </c>
      <c r="C14" s="107"/>
      <c r="D14" s="108"/>
      <c r="E14" s="108">
        <v>-1045091</v>
      </c>
      <c r="F14" s="108"/>
      <c r="G14" s="108"/>
      <c r="H14" s="108"/>
      <c r="I14" s="108">
        <f>SUM(D14:H14)</f>
        <v>-1045091</v>
      </c>
      <c r="J14" s="108"/>
      <c r="K14" s="108">
        <f t="shared" si="1"/>
        <v>-1045091</v>
      </c>
      <c r="L14" s="10"/>
      <c r="M14" s="11" t="s">
        <v>121</v>
      </c>
      <c r="N14" s="10"/>
      <c r="O14" s="10"/>
      <c r="P14" s="13">
        <f>SUM(P12:P13)</f>
        <v>0</v>
      </c>
      <c r="Q14" s="10"/>
      <c r="R14" s="10"/>
      <c r="S14" s="10"/>
    </row>
    <row r="15" spans="2:19" ht="15" customHeight="1" hidden="1">
      <c r="B15" s="104" t="s">
        <v>108</v>
      </c>
      <c r="C15" s="107"/>
      <c r="D15" s="108"/>
      <c r="E15" s="108"/>
      <c r="F15" s="108"/>
      <c r="G15" s="108"/>
      <c r="H15" s="108">
        <v>5821</v>
      </c>
      <c r="I15" s="108">
        <f>SUM(D15:H15)</f>
        <v>5821</v>
      </c>
      <c r="J15" s="110"/>
      <c r="K15" s="108">
        <f>I15</f>
        <v>5821</v>
      </c>
      <c r="L15" s="10"/>
      <c r="M15" s="11"/>
      <c r="N15" s="10"/>
      <c r="O15" s="10"/>
      <c r="P15" s="10">
        <f>+P14/1000</f>
        <v>0</v>
      </c>
      <c r="Q15" s="10"/>
      <c r="R15" s="10"/>
      <c r="S15" s="10"/>
    </row>
    <row r="16" spans="2:19" ht="15" customHeight="1" hidden="1">
      <c r="B16" s="57" t="s">
        <v>109</v>
      </c>
      <c r="C16" s="106"/>
      <c r="D16" s="46">
        <f>D15</f>
        <v>0</v>
      </c>
      <c r="E16" s="46">
        <v>0</v>
      </c>
      <c r="F16" s="46">
        <f>F15</f>
        <v>0</v>
      </c>
      <c r="G16" s="46">
        <f>G15</f>
        <v>0</v>
      </c>
      <c r="H16" s="46">
        <f>H15</f>
        <v>5821</v>
      </c>
      <c r="I16" s="46">
        <f>I14+I15</f>
        <v>-1039270</v>
      </c>
      <c r="J16" s="46"/>
      <c r="K16" s="46">
        <f t="shared" si="1"/>
        <v>-1039270</v>
      </c>
      <c r="L16" s="10"/>
      <c r="M16" s="11"/>
      <c r="N16" s="10"/>
      <c r="O16" s="10"/>
      <c r="P16" s="10"/>
      <c r="Q16" s="10"/>
      <c r="R16" s="10"/>
      <c r="S16" s="10"/>
    </row>
    <row r="17" spans="2:19" ht="15" customHeight="1" hidden="1">
      <c r="B17" s="111" t="s">
        <v>110</v>
      </c>
      <c r="C17" s="107"/>
      <c r="D17" s="108"/>
      <c r="E17" s="108"/>
      <c r="F17" s="108"/>
      <c r="G17" s="108"/>
      <c r="H17" s="108"/>
      <c r="I17" s="108">
        <f>SUM(D17:H17)</f>
        <v>0</v>
      </c>
      <c r="J17" s="110"/>
      <c r="K17" s="108"/>
      <c r="L17" s="10"/>
      <c r="M17" s="10"/>
      <c r="N17" s="10"/>
      <c r="O17" s="10"/>
      <c r="P17" s="10"/>
      <c r="Q17" s="10"/>
      <c r="R17" s="10"/>
      <c r="S17" s="10"/>
    </row>
    <row r="18" spans="2:19" ht="15" customHeight="1" hidden="1">
      <c r="B18" s="111" t="s">
        <v>111</v>
      </c>
      <c r="C18" s="107"/>
      <c r="D18" s="108"/>
      <c r="E18" s="108"/>
      <c r="F18" s="108"/>
      <c r="G18" s="108"/>
      <c r="H18" s="108"/>
      <c r="I18" s="108">
        <f>SUM(D18:H18)</f>
        <v>0</v>
      </c>
      <c r="J18" s="110"/>
      <c r="K18" s="108"/>
      <c r="L18" s="10"/>
      <c r="M18" s="10"/>
      <c r="N18" s="10"/>
      <c r="O18" s="10"/>
      <c r="P18" s="10"/>
      <c r="Q18" s="10"/>
      <c r="R18" s="10"/>
      <c r="S18" s="10"/>
    </row>
    <row r="19" spans="2:19" ht="15" customHeight="1" hidden="1">
      <c r="B19" s="111" t="s">
        <v>112</v>
      </c>
      <c r="C19" s="112"/>
      <c r="D19" s="108"/>
      <c r="E19" s="108"/>
      <c r="F19" s="108"/>
      <c r="G19" s="110"/>
      <c r="H19" s="108"/>
      <c r="I19" s="108">
        <f>SUM(D19:H19)</f>
        <v>0</v>
      </c>
      <c r="J19" s="108"/>
      <c r="K19" s="108">
        <f t="shared" si="1"/>
        <v>0</v>
      </c>
      <c r="L19" s="10"/>
      <c r="M19" s="10"/>
      <c r="N19" s="10"/>
      <c r="O19" s="10"/>
      <c r="P19" s="10"/>
      <c r="Q19" s="10"/>
      <c r="R19" s="10"/>
      <c r="S19" s="10"/>
    </row>
    <row r="20" spans="2:19" ht="15" customHeight="1" hidden="1">
      <c r="B20" s="57" t="s">
        <v>54</v>
      </c>
      <c r="C20" s="112"/>
      <c r="D20" s="46">
        <f>D13+D16</f>
        <v>1254281</v>
      </c>
      <c r="E20" s="46">
        <f>E13+E14</f>
        <v>27336839</v>
      </c>
      <c r="F20" s="46">
        <f>F13</f>
        <v>-1326739</v>
      </c>
      <c r="G20" s="46"/>
      <c r="H20" s="46">
        <f>H13+H16</f>
        <v>1432853</v>
      </c>
      <c r="I20" s="46">
        <f>I13+I16</f>
        <v>28697234</v>
      </c>
      <c r="J20" s="46">
        <f>J13+J16</f>
        <v>669041</v>
      </c>
      <c r="K20" s="46">
        <f>K13+K16</f>
        <v>29366275</v>
      </c>
      <c r="L20" s="10"/>
      <c r="M20" s="10"/>
      <c r="N20" s="10"/>
      <c r="O20" s="10"/>
      <c r="P20" s="10"/>
      <c r="Q20" s="10"/>
      <c r="R20" s="10"/>
      <c r="S20" s="10"/>
    </row>
    <row r="21" spans="2:19" ht="27.75" customHeight="1" hidden="1">
      <c r="B21" s="104" t="s">
        <v>103</v>
      </c>
      <c r="C21" s="112"/>
      <c r="D21" s="108"/>
      <c r="E21" s="108"/>
      <c r="F21" s="108"/>
      <c r="G21" s="108"/>
      <c r="H21" s="108"/>
      <c r="I21" s="108"/>
      <c r="J21" s="108"/>
      <c r="K21" s="108"/>
      <c r="L21" s="10"/>
      <c r="M21" s="10"/>
      <c r="N21" s="10"/>
      <c r="O21" s="10"/>
      <c r="P21" s="10"/>
      <c r="Q21" s="10"/>
      <c r="R21" s="10"/>
      <c r="S21" s="10"/>
    </row>
    <row r="22" spans="2:19" ht="15" customHeight="1" hidden="1">
      <c r="B22" s="57" t="s">
        <v>105</v>
      </c>
      <c r="C22" s="112"/>
      <c r="D22" s="108"/>
      <c r="E22" s="108"/>
      <c r="F22" s="108"/>
      <c r="G22" s="108"/>
      <c r="H22" s="108"/>
      <c r="I22" s="108"/>
      <c r="J22" s="108"/>
      <c r="K22" s="108"/>
      <c r="L22" s="10"/>
      <c r="M22" s="10"/>
      <c r="N22" s="10"/>
      <c r="O22" s="10"/>
      <c r="P22" s="10"/>
      <c r="Q22" s="10"/>
      <c r="R22" s="10"/>
      <c r="S22" s="10"/>
    </row>
    <row r="23" spans="2:19" ht="15" customHeight="1" hidden="1">
      <c r="B23" s="104" t="s">
        <v>107</v>
      </c>
      <c r="C23" s="112"/>
      <c r="D23" s="108"/>
      <c r="E23" s="108"/>
      <c r="F23" s="108"/>
      <c r="G23" s="108"/>
      <c r="H23" s="108"/>
      <c r="I23" s="108"/>
      <c r="J23" s="110"/>
      <c r="K23" s="108"/>
      <c r="L23" s="10"/>
      <c r="M23" s="10"/>
      <c r="N23" s="10"/>
      <c r="O23" s="10"/>
      <c r="P23" s="10"/>
      <c r="Q23" s="10"/>
      <c r="R23" s="10"/>
      <c r="S23" s="10"/>
    </row>
    <row r="24" spans="2:19" ht="15" customHeight="1" hidden="1">
      <c r="B24" s="104" t="s">
        <v>108</v>
      </c>
      <c r="C24" s="112"/>
      <c r="D24" s="108"/>
      <c r="E24" s="108"/>
      <c r="F24" s="108"/>
      <c r="G24" s="108"/>
      <c r="H24" s="108">
        <v>380633</v>
      </c>
      <c r="I24" s="108">
        <f>H24</f>
        <v>380633</v>
      </c>
      <c r="J24" s="108">
        <v>235333</v>
      </c>
      <c r="K24" s="108">
        <f>SUM(I24:J24)</f>
        <v>615966</v>
      </c>
      <c r="L24" s="10"/>
      <c r="M24" s="10"/>
      <c r="N24" s="10"/>
      <c r="O24" s="10"/>
      <c r="P24" s="10"/>
      <c r="Q24" s="10"/>
      <c r="R24" s="10"/>
      <c r="S24" s="10"/>
    </row>
    <row r="25" spans="2:19" ht="15" customHeight="1" hidden="1">
      <c r="B25" s="57" t="s">
        <v>109</v>
      </c>
      <c r="C25" s="112"/>
      <c r="D25" s="108"/>
      <c r="E25" s="108"/>
      <c r="F25" s="108"/>
      <c r="G25" s="108"/>
      <c r="H25" s="46">
        <f>H22+H24</f>
        <v>380633</v>
      </c>
      <c r="I25" s="46">
        <f>H25</f>
        <v>380633</v>
      </c>
      <c r="J25" s="46">
        <f>J24</f>
        <v>235333</v>
      </c>
      <c r="K25" s="46">
        <f>SUM(I25:J25)</f>
        <v>615966</v>
      </c>
      <c r="L25" s="10"/>
      <c r="M25" s="10"/>
      <c r="N25" s="10"/>
      <c r="O25" s="10"/>
      <c r="P25" s="10"/>
      <c r="Q25" s="10"/>
      <c r="R25" s="10"/>
      <c r="S25" s="10"/>
    </row>
    <row r="26" spans="2:19" ht="15" customHeight="1" hidden="1">
      <c r="B26" s="111" t="s">
        <v>110</v>
      </c>
      <c r="C26" s="112"/>
      <c r="D26" s="108"/>
      <c r="E26" s="108"/>
      <c r="F26" s="108"/>
      <c r="G26" s="108"/>
      <c r="H26" s="108"/>
      <c r="I26" s="108"/>
      <c r="J26" s="108">
        <f>-37800</f>
        <v>-37800</v>
      </c>
      <c r="K26" s="108">
        <f>SUM(J26)</f>
        <v>-37800</v>
      </c>
      <c r="L26" s="10"/>
      <c r="M26" s="10"/>
      <c r="N26" s="10"/>
      <c r="O26" s="10"/>
      <c r="P26" s="10"/>
      <c r="Q26" s="10"/>
      <c r="R26" s="10"/>
      <c r="S26" s="10"/>
    </row>
    <row r="27" spans="2:19" ht="15" customHeight="1" hidden="1">
      <c r="B27" s="111" t="s">
        <v>111</v>
      </c>
      <c r="C27" s="112"/>
      <c r="D27" s="108"/>
      <c r="E27" s="108"/>
      <c r="F27" s="108"/>
      <c r="G27" s="108"/>
      <c r="H27" s="108"/>
      <c r="I27" s="108"/>
      <c r="J27" s="108">
        <f>501760</f>
        <v>501760</v>
      </c>
      <c r="K27" s="108">
        <f>SUM(J27)</f>
        <v>501760</v>
      </c>
      <c r="L27" s="10"/>
      <c r="M27" s="10"/>
      <c r="N27" s="10"/>
      <c r="O27" s="10"/>
      <c r="P27" s="10"/>
      <c r="Q27" s="10"/>
      <c r="R27" s="10"/>
      <c r="S27" s="10"/>
    </row>
    <row r="28" spans="2:19" ht="15" customHeight="1" hidden="1">
      <c r="B28" s="111" t="s">
        <v>112</v>
      </c>
      <c r="C28" s="112"/>
      <c r="D28" s="108"/>
      <c r="E28" s="108"/>
      <c r="F28" s="108"/>
      <c r="G28" s="108">
        <f>303881</f>
        <v>303881</v>
      </c>
      <c r="H28" s="108"/>
      <c r="I28" s="108">
        <f>G28</f>
        <v>303881</v>
      </c>
      <c r="J28" s="108"/>
      <c r="K28" s="108">
        <f>SUM(I28:J28)</f>
        <v>303881</v>
      </c>
      <c r="L28" s="10"/>
      <c r="M28" s="10"/>
      <c r="N28" s="10"/>
      <c r="O28" s="10"/>
      <c r="P28" s="10"/>
      <c r="Q28" s="10"/>
      <c r="R28" s="10"/>
      <c r="S28" s="10"/>
    </row>
    <row r="29" spans="2:19" ht="15" customHeight="1" hidden="1">
      <c r="B29" s="57" t="s">
        <v>41</v>
      </c>
      <c r="C29" s="106"/>
      <c r="D29" s="46">
        <f>D13+D16+D17+D18+D19</f>
        <v>1254281</v>
      </c>
      <c r="E29" s="46">
        <v>27336840</v>
      </c>
      <c r="F29" s="46">
        <f>F13+F16+F17+F18+F19</f>
        <v>-1326739</v>
      </c>
      <c r="G29" s="46">
        <f>G13+G16+G17+G18+G28</f>
        <v>303881</v>
      </c>
      <c r="H29" s="46">
        <f>H20+H25</f>
        <v>1813486</v>
      </c>
      <c r="I29" s="46">
        <v>29883509</v>
      </c>
      <c r="J29" s="46">
        <v>866574</v>
      </c>
      <c r="K29" s="46">
        <f>J29+I29</f>
        <v>30750083</v>
      </c>
      <c r="L29" s="9" t="e">
        <f>#REF!</f>
        <v>#REF!</v>
      </c>
      <c r="M29" s="14" t="e">
        <f>K29-L29</f>
        <v>#REF!</v>
      </c>
      <c r="N29" s="10"/>
      <c r="O29" s="10"/>
      <c r="P29" s="10"/>
      <c r="Q29" s="10"/>
      <c r="R29" s="10"/>
      <c r="S29" s="10"/>
    </row>
    <row r="30" spans="2:19" ht="15" customHeight="1" hidden="1">
      <c r="B30" s="113" t="s">
        <v>113</v>
      </c>
      <c r="C30" s="107"/>
      <c r="D30" s="109"/>
      <c r="E30" s="109"/>
      <c r="F30" s="109"/>
      <c r="G30" s="109"/>
      <c r="H30" s="109"/>
      <c r="I30" s="109"/>
      <c r="J30" s="109"/>
      <c r="K30" s="109">
        <f>I30+J30</f>
        <v>0</v>
      </c>
      <c r="L30" s="10"/>
      <c r="M30" s="10"/>
      <c r="N30" s="10"/>
      <c r="O30" s="10"/>
      <c r="P30" s="10"/>
      <c r="Q30" s="10"/>
      <c r="R30" s="10"/>
      <c r="S30" s="10"/>
    </row>
    <row r="31" spans="2:19" ht="15" customHeight="1" hidden="1">
      <c r="B31" s="57" t="s">
        <v>105</v>
      </c>
      <c r="C31" s="106"/>
      <c r="D31" s="46">
        <f>D29+D30</f>
        <v>1254281</v>
      </c>
      <c r="E31" s="46">
        <f>E29+E30</f>
        <v>27336840</v>
      </c>
      <c r="F31" s="46">
        <f aca="true" t="shared" si="2" ref="F31:K31">F29+F30</f>
        <v>-1326739</v>
      </c>
      <c r="G31" s="46">
        <f t="shared" si="2"/>
        <v>303881</v>
      </c>
      <c r="H31" s="46">
        <f t="shared" si="2"/>
        <v>1813486</v>
      </c>
      <c r="I31" s="46">
        <f t="shared" si="2"/>
        <v>29883509</v>
      </c>
      <c r="J31" s="46">
        <f>J29+J30</f>
        <v>866574</v>
      </c>
      <c r="K31" s="46">
        <f t="shared" si="2"/>
        <v>30750083</v>
      </c>
      <c r="L31" s="10"/>
      <c r="M31" s="10"/>
      <c r="N31" s="10"/>
      <c r="O31" s="10"/>
      <c r="P31" s="10"/>
      <c r="Q31" s="10"/>
      <c r="R31" s="10"/>
      <c r="S31" s="10"/>
    </row>
    <row r="32" spans="2:19" ht="15" customHeight="1" hidden="1">
      <c r="B32" s="111" t="s">
        <v>114</v>
      </c>
      <c r="C32" s="107"/>
      <c r="D32" s="108"/>
      <c r="E32" s="108"/>
      <c r="F32" s="108"/>
      <c r="G32" s="108"/>
      <c r="H32" s="108"/>
      <c r="I32" s="108">
        <f>SUM(D32:H32)</f>
        <v>0</v>
      </c>
      <c r="J32" s="108"/>
      <c r="K32" s="108">
        <f>I32+J32</f>
        <v>0</v>
      </c>
      <c r="L32" s="10"/>
      <c r="M32" s="10"/>
      <c r="N32" s="10"/>
      <c r="O32" s="10"/>
      <c r="P32" s="10"/>
      <c r="Q32" s="10"/>
      <c r="R32" s="10"/>
      <c r="S32" s="10"/>
    </row>
    <row r="33" spans="2:19" ht="15" customHeight="1" hidden="1">
      <c r="B33" s="111" t="s">
        <v>115</v>
      </c>
      <c r="C33" s="107"/>
      <c r="D33" s="108"/>
      <c r="E33" s="108"/>
      <c r="F33" s="108"/>
      <c r="G33" s="108"/>
      <c r="H33" s="108">
        <v>89638</v>
      </c>
      <c r="I33" s="108">
        <f>H33</f>
        <v>89638</v>
      </c>
      <c r="J33" s="108"/>
      <c r="K33" s="108">
        <f>I33+J33</f>
        <v>89638</v>
      </c>
      <c r="L33" s="10"/>
      <c r="M33" s="10"/>
      <c r="N33" s="10"/>
      <c r="O33" s="10"/>
      <c r="P33" s="10"/>
      <c r="Q33" s="10"/>
      <c r="R33" s="10"/>
      <c r="S33" s="10"/>
    </row>
    <row r="34" spans="2:11" ht="15" customHeight="1" hidden="1">
      <c r="B34" s="57" t="s">
        <v>116</v>
      </c>
      <c r="C34" s="106"/>
      <c r="D34" s="46">
        <f aca="true" t="shared" si="3" ref="D34:K34">SUM(D32:D33)</f>
        <v>0</v>
      </c>
      <c r="E34" s="46">
        <f>SUM(E32:E33)</f>
        <v>0</v>
      </c>
      <c r="F34" s="46">
        <f t="shared" si="3"/>
        <v>0</v>
      </c>
      <c r="G34" s="46">
        <f t="shared" si="3"/>
        <v>0</v>
      </c>
      <c r="H34" s="46">
        <f t="shared" si="3"/>
        <v>89638</v>
      </c>
      <c r="I34" s="46">
        <f t="shared" si="3"/>
        <v>89638</v>
      </c>
      <c r="J34" s="46">
        <f>SUM(J32:J33)</f>
        <v>0</v>
      </c>
      <c r="K34" s="46">
        <f t="shared" si="3"/>
        <v>89638</v>
      </c>
    </row>
    <row r="35" spans="2:11" ht="26.25" customHeight="1" hidden="1">
      <c r="B35" s="114" t="s">
        <v>117</v>
      </c>
      <c r="C35" s="107"/>
      <c r="D35" s="108"/>
      <c r="E35" s="108"/>
      <c r="F35" s="108"/>
      <c r="G35" s="108"/>
      <c r="H35" s="108"/>
      <c r="I35" s="108">
        <f>SUM(D35:H35)</f>
        <v>0</v>
      </c>
      <c r="J35" s="108"/>
      <c r="K35" s="108">
        <f>I35+J35</f>
        <v>0</v>
      </c>
    </row>
    <row r="36" spans="2:11" ht="21.75" customHeight="1" hidden="1">
      <c r="B36" s="114" t="s">
        <v>124</v>
      </c>
      <c r="C36" s="107"/>
      <c r="D36" s="108"/>
      <c r="E36" s="108"/>
      <c r="F36" s="108"/>
      <c r="G36" s="108"/>
      <c r="H36" s="108"/>
      <c r="I36" s="108"/>
      <c r="J36" s="108">
        <v>-35207</v>
      </c>
      <c r="K36" s="108">
        <f>I36+J36</f>
        <v>-35207</v>
      </c>
    </row>
    <row r="37" spans="2:11" ht="15" customHeight="1" hidden="1">
      <c r="B37" s="57" t="s">
        <v>109</v>
      </c>
      <c r="C37" s="106"/>
      <c r="D37" s="115">
        <f aca="true" t="shared" si="4" ref="D37:K37">SUM(D35:D36)</f>
        <v>0</v>
      </c>
      <c r="E37" s="115">
        <f t="shared" si="4"/>
        <v>0</v>
      </c>
      <c r="F37" s="115">
        <f t="shared" si="4"/>
        <v>0</v>
      </c>
      <c r="G37" s="115">
        <f t="shared" si="4"/>
        <v>0</v>
      </c>
      <c r="H37" s="115">
        <f t="shared" si="4"/>
        <v>0</v>
      </c>
      <c r="I37" s="115">
        <f t="shared" si="4"/>
        <v>0</v>
      </c>
      <c r="J37" s="46">
        <f>SUM(J35:J36)</f>
        <v>-35207</v>
      </c>
      <c r="K37" s="46">
        <f t="shared" si="4"/>
        <v>-35207</v>
      </c>
    </row>
    <row r="38" spans="2:11" ht="15" customHeight="1" hidden="1">
      <c r="B38" s="57" t="s">
        <v>149</v>
      </c>
      <c r="C38" s="106"/>
      <c r="D38" s="46">
        <f>D31+D34+D37</f>
        <v>1254281</v>
      </c>
      <c r="E38" s="46">
        <f>E31+E34+E37</f>
        <v>27336840</v>
      </c>
      <c r="F38" s="46">
        <f aca="true" t="shared" si="5" ref="F38:K38">F31+F34+F37</f>
        <v>-1326739</v>
      </c>
      <c r="G38" s="46">
        <f t="shared" si="5"/>
        <v>303881</v>
      </c>
      <c r="H38" s="46">
        <f>H31+H34+H37</f>
        <v>1903124</v>
      </c>
      <c r="I38" s="46">
        <f>I31+I34+I37</f>
        <v>29973147</v>
      </c>
      <c r="J38" s="46">
        <f>J31+J34+J37</f>
        <v>831367</v>
      </c>
      <c r="K38" s="46">
        <f t="shared" si="5"/>
        <v>30804514</v>
      </c>
    </row>
    <row r="39" spans="2:11" ht="15" customHeight="1" hidden="1">
      <c r="B39" s="113" t="s">
        <v>113</v>
      </c>
      <c r="C39" s="106"/>
      <c r="D39" s="46"/>
      <c r="E39" s="46"/>
      <c r="F39" s="46"/>
      <c r="G39" s="46"/>
      <c r="H39" s="46"/>
      <c r="I39" s="46"/>
      <c r="J39" s="46"/>
      <c r="K39" s="46"/>
    </row>
    <row r="40" spans="2:11" ht="15" customHeight="1">
      <c r="B40" s="57" t="s">
        <v>320</v>
      </c>
      <c r="C40" s="106"/>
      <c r="D40" s="46">
        <f>Баланс!D51</f>
        <v>1254281</v>
      </c>
      <c r="E40" s="46"/>
      <c r="F40" s="46"/>
      <c r="G40" s="46">
        <f>Баланс!D52</f>
        <v>0</v>
      </c>
      <c r="H40" s="46">
        <v>5415332</v>
      </c>
      <c r="I40" s="46">
        <f>SUM(D40:H40)</f>
        <v>6669613</v>
      </c>
      <c r="J40" s="46">
        <v>278</v>
      </c>
      <c r="K40" s="46">
        <f>J40+I40</f>
        <v>6669891</v>
      </c>
    </row>
    <row r="41" spans="2:11" ht="15" customHeight="1" hidden="1">
      <c r="B41" s="111" t="s">
        <v>114</v>
      </c>
      <c r="C41" s="106"/>
      <c r="D41" s="46"/>
      <c r="E41" s="46"/>
      <c r="F41" s="46"/>
      <c r="G41" s="46"/>
      <c r="H41" s="110"/>
      <c r="I41" s="46">
        <f>E41</f>
        <v>0</v>
      </c>
      <c r="J41" s="46"/>
      <c r="K41" s="116">
        <f>I41</f>
        <v>0</v>
      </c>
    </row>
    <row r="42" spans="2:11" ht="19.5" customHeight="1" hidden="1">
      <c r="B42" s="104" t="s">
        <v>168</v>
      </c>
      <c r="C42" s="106"/>
      <c r="D42" s="46"/>
      <c r="E42" s="108"/>
      <c r="F42" s="108">
        <f>Баланс!C53</f>
        <v>0</v>
      </c>
      <c r="G42" s="46"/>
      <c r="H42" s="108"/>
      <c r="I42" s="108">
        <f>SUM(D42:H42)</f>
        <v>0</v>
      </c>
      <c r="J42" s="108"/>
      <c r="K42" s="108">
        <f>I42+J42</f>
        <v>0</v>
      </c>
    </row>
    <row r="43" spans="2:11" ht="15" customHeight="1" hidden="1">
      <c r="B43" s="111" t="s">
        <v>115</v>
      </c>
      <c r="C43" s="106"/>
      <c r="D43" s="46"/>
      <c r="E43" s="46"/>
      <c r="F43" s="46"/>
      <c r="G43" s="46"/>
      <c r="H43" s="108">
        <v>367036</v>
      </c>
      <c r="I43" s="108">
        <f>H43</f>
        <v>367036</v>
      </c>
      <c r="J43" s="108"/>
      <c r="K43" s="108">
        <f>I43+J43</f>
        <v>367036</v>
      </c>
    </row>
    <row r="44" spans="2:11" ht="15" customHeight="1" hidden="1">
      <c r="B44" s="57" t="s">
        <v>116</v>
      </c>
      <c r="C44" s="106"/>
      <c r="D44" s="46">
        <f>D41+D43</f>
        <v>0</v>
      </c>
      <c r="E44" s="46">
        <f>E41+E43</f>
        <v>0</v>
      </c>
      <c r="F44" s="46">
        <f>F41+F43</f>
        <v>0</v>
      </c>
      <c r="G44" s="46">
        <f>G41+G43</f>
        <v>0</v>
      </c>
      <c r="H44" s="108">
        <f>H42+H43</f>
        <v>367036</v>
      </c>
      <c r="I44" s="108">
        <f>E44+H44</f>
        <v>367036</v>
      </c>
      <c r="J44" s="108"/>
      <c r="K44" s="108">
        <f>I44+J44</f>
        <v>367036</v>
      </c>
    </row>
    <row r="45" spans="2:11" ht="24.75" customHeight="1" hidden="1">
      <c r="B45" s="114" t="s">
        <v>117</v>
      </c>
      <c r="C45" s="106"/>
      <c r="D45" s="46"/>
      <c r="E45" s="46"/>
      <c r="F45" s="46"/>
      <c r="G45" s="46"/>
      <c r="H45" s="108"/>
      <c r="I45" s="108"/>
      <c r="J45" s="108">
        <v>-243376</v>
      </c>
      <c r="K45" s="108">
        <f>J45</f>
        <v>-243376</v>
      </c>
    </row>
    <row r="46" spans="2:11" ht="15" customHeight="1" hidden="1">
      <c r="B46" s="114" t="s">
        <v>147</v>
      </c>
      <c r="C46" s="106"/>
      <c r="D46" s="46"/>
      <c r="E46" s="46"/>
      <c r="F46" s="46"/>
      <c r="G46" s="46"/>
      <c r="H46" s="108"/>
      <c r="I46" s="108"/>
      <c r="J46" s="108">
        <f>-35501</f>
        <v>-35501</v>
      </c>
      <c r="K46" s="108">
        <f>I46+J46</f>
        <v>-35501</v>
      </c>
    </row>
    <row r="47" spans="2:11" ht="15" customHeight="1" hidden="1">
      <c r="B47" s="57" t="s">
        <v>109</v>
      </c>
      <c r="C47" s="106"/>
      <c r="D47" s="46"/>
      <c r="E47" s="46"/>
      <c r="F47" s="46"/>
      <c r="G47" s="46"/>
      <c r="H47" s="108"/>
      <c r="I47" s="108"/>
      <c r="J47" s="108"/>
      <c r="K47" s="108">
        <f>I47+J47</f>
        <v>0</v>
      </c>
    </row>
    <row r="48" spans="2:12" ht="15" customHeight="1" hidden="1">
      <c r="B48" s="57" t="s">
        <v>40</v>
      </c>
      <c r="C48" s="106"/>
      <c r="D48" s="46">
        <f>D40+D44+D47</f>
        <v>1254281</v>
      </c>
      <c r="E48" s="46">
        <f>E40+E44+E47</f>
        <v>0</v>
      </c>
      <c r="F48" s="46">
        <f>F40+F44+F47</f>
        <v>0</v>
      </c>
      <c r="G48" s="46">
        <f>G40+G44+G47</f>
        <v>0</v>
      </c>
      <c r="H48" s="46">
        <f>H40+H44+H47</f>
        <v>5782368</v>
      </c>
      <c r="I48" s="46">
        <f>I40+I44+I47+I42+I41</f>
        <v>7036649</v>
      </c>
      <c r="J48" s="46">
        <f>J40+J47+J46+J45</f>
        <v>-278599</v>
      </c>
      <c r="K48" s="46">
        <f>K40+K44+K45+K46</f>
        <v>6758050</v>
      </c>
      <c r="L48" s="59">
        <f>K48-Баланс!C59</f>
        <v>2463096.61728</v>
      </c>
    </row>
    <row r="49" spans="2:11" ht="15" customHeight="1">
      <c r="B49" s="111" t="s">
        <v>115</v>
      </c>
      <c r="C49" s="106"/>
      <c r="D49" s="46"/>
      <c r="E49" s="46"/>
      <c r="F49" s="46"/>
      <c r="G49" s="46"/>
      <c r="H49" s="108">
        <v>-2374937.77319</v>
      </c>
      <c r="I49" s="108">
        <f>SUM(D49:H49)</f>
        <v>-2374937.77319</v>
      </c>
      <c r="J49" s="108">
        <f>опу1!D28</f>
        <v>0</v>
      </c>
      <c r="K49" s="108">
        <f>I49+J49</f>
        <v>-2374937.77319</v>
      </c>
    </row>
    <row r="50" spans="2:12" s="15" customFormat="1" ht="15" customHeight="1">
      <c r="B50" s="57" t="s">
        <v>0</v>
      </c>
      <c r="C50" s="117"/>
      <c r="D50" s="118"/>
      <c r="E50" s="46">
        <f>E42</f>
        <v>0</v>
      </c>
      <c r="F50" s="46">
        <f>SUM(F40:F49)</f>
        <v>0</v>
      </c>
      <c r="G50" s="118"/>
      <c r="H50" s="46">
        <f>H49+H42</f>
        <v>-2374937.77319</v>
      </c>
      <c r="I50" s="46">
        <f>I42+I49</f>
        <v>-2374937.77319</v>
      </c>
      <c r="J50" s="46">
        <f>J42+J49</f>
        <v>0</v>
      </c>
      <c r="K50" s="46">
        <f>I50+J50</f>
        <v>-2374937.77319</v>
      </c>
      <c r="L50" s="16"/>
    </row>
    <row r="51" spans="2:12" s="15" customFormat="1" ht="22.5" customHeight="1" hidden="1">
      <c r="B51" s="114" t="s">
        <v>184</v>
      </c>
      <c r="C51" s="117"/>
      <c r="D51" s="118"/>
      <c r="E51" s="108"/>
      <c r="F51" s="118"/>
      <c r="G51" s="118"/>
      <c r="H51" s="108"/>
      <c r="I51" s="108">
        <f>SUM(E51:H51)</f>
        <v>0</v>
      </c>
      <c r="J51" s="108"/>
      <c r="K51" s="108">
        <f>J51+I51</f>
        <v>0</v>
      </c>
      <c r="L51" s="137">
        <f>I42+I49+J52</f>
        <v>-2374937.77319</v>
      </c>
    </row>
    <row r="52" spans="2:13" s="16" customFormat="1" ht="15" customHeight="1" hidden="1">
      <c r="B52" s="119" t="s">
        <v>174</v>
      </c>
      <c r="C52" s="120"/>
      <c r="D52" s="120"/>
      <c r="E52" s="120"/>
      <c r="F52" s="120"/>
      <c r="G52" s="120"/>
      <c r="H52" s="108"/>
      <c r="I52" s="46">
        <f>SUM(D52:H52)</f>
        <v>0</v>
      </c>
      <c r="J52" s="108"/>
      <c r="K52" s="108">
        <f>J52+I52</f>
        <v>0</v>
      </c>
      <c r="L52" s="137"/>
      <c r="M52" s="137"/>
    </row>
    <row r="53" spans="2:11" s="16" customFormat="1" ht="13.5" customHeight="1" hidden="1">
      <c r="B53" s="114" t="s">
        <v>183</v>
      </c>
      <c r="C53" s="120"/>
      <c r="D53" s="120"/>
      <c r="E53" s="120"/>
      <c r="F53" s="120"/>
      <c r="G53" s="120"/>
      <c r="H53" s="108"/>
      <c r="I53" s="108"/>
      <c r="J53" s="108"/>
      <c r="K53" s="108">
        <f>J53+I53</f>
        <v>0</v>
      </c>
    </row>
    <row r="54" spans="2:13" s="5" customFormat="1" ht="15" customHeight="1">
      <c r="B54" s="57" t="s">
        <v>321</v>
      </c>
      <c r="C54" s="76"/>
      <c r="D54" s="46">
        <f>D48+D50</f>
        <v>1254281</v>
      </c>
      <c r="E54" s="46">
        <f>E40+E50+E51</f>
        <v>0</v>
      </c>
      <c r="F54" s="46">
        <f>F40+F50</f>
        <v>0</v>
      </c>
      <c r="G54" s="46">
        <f>G48+G50</f>
        <v>0</v>
      </c>
      <c r="H54" s="46">
        <f>H40+H50+H51+H52+H53</f>
        <v>3040394.22681</v>
      </c>
      <c r="I54" s="46">
        <f>I40+I50+I53</f>
        <v>4294675.22681</v>
      </c>
      <c r="J54" s="46">
        <f>J40+J50+J52+J53</f>
        <v>278</v>
      </c>
      <c r="K54" s="46">
        <f>K40+K50+K52+K53+K51</f>
        <v>4294953.22681</v>
      </c>
      <c r="L54" s="60"/>
      <c r="M54" s="60"/>
    </row>
    <row r="55" spans="2:13" s="5" customFormat="1" ht="15" customHeight="1" hidden="1">
      <c r="B55" s="57"/>
      <c r="C55" s="76"/>
      <c r="D55" s="46"/>
      <c r="E55" s="46"/>
      <c r="F55" s="46"/>
      <c r="G55" s="46"/>
      <c r="H55" s="46" t="e">
        <f>#REF!</f>
        <v>#REF!</v>
      </c>
      <c r="J55" s="46"/>
      <c r="K55" s="46"/>
      <c r="L55" s="60"/>
      <c r="M55" s="60"/>
    </row>
    <row r="56" spans="2:13" s="5" customFormat="1" ht="15" customHeight="1" hidden="1">
      <c r="B56" s="57"/>
      <c r="C56" s="76"/>
      <c r="D56" s="46"/>
      <c r="E56" s="46"/>
      <c r="F56" s="46"/>
      <c r="G56" s="46"/>
      <c r="H56" s="46" t="e">
        <f>H54-H55</f>
        <v>#REF!</v>
      </c>
      <c r="I56" s="46"/>
      <c r="J56" s="46"/>
      <c r="K56" s="46"/>
      <c r="L56" s="60"/>
      <c r="M56" s="60"/>
    </row>
    <row r="57" spans="2:12" s="5" customFormat="1" ht="15" customHeight="1">
      <c r="B57" s="57" t="s">
        <v>302</v>
      </c>
      <c r="C57" s="76"/>
      <c r="D57" s="46">
        <v>1254281</v>
      </c>
      <c r="E57" s="46">
        <v>8406</v>
      </c>
      <c r="F57" s="46"/>
      <c r="G57" s="46"/>
      <c r="H57" s="46">
        <v>5322338</v>
      </c>
      <c r="I57" s="46">
        <f>SUM(D57:H57)</f>
        <v>6585025</v>
      </c>
      <c r="J57" s="46">
        <v>25096</v>
      </c>
      <c r="K57" s="46">
        <f>I57+J57</f>
        <v>6610121</v>
      </c>
      <c r="L57" s="60"/>
    </row>
    <row r="58" spans="2:12" s="5" customFormat="1" ht="15" customHeight="1">
      <c r="B58" s="111" t="s">
        <v>168</v>
      </c>
      <c r="C58" s="76"/>
      <c r="D58" s="46"/>
      <c r="E58" s="108"/>
      <c r="F58" s="46"/>
      <c r="G58" s="46"/>
      <c r="H58" s="108"/>
      <c r="I58" s="108">
        <f>SUM(D58:H58)</f>
        <v>0</v>
      </c>
      <c r="J58" s="108"/>
      <c r="K58" s="108">
        <f>I58+J58</f>
        <v>0</v>
      </c>
      <c r="L58" s="60"/>
    </row>
    <row r="59" spans="2:12" s="5" customFormat="1" ht="15" customHeight="1">
      <c r="B59" s="111" t="s">
        <v>115</v>
      </c>
      <c r="C59" s="76"/>
      <c r="D59" s="46"/>
      <c r="E59" s="46"/>
      <c r="F59" s="46"/>
      <c r="G59" s="46"/>
      <c r="H59" s="108">
        <v>-244572</v>
      </c>
      <c r="I59" s="108">
        <f>SUM(D59:H59)</f>
        <v>-244572</v>
      </c>
      <c r="J59" s="108">
        <v>-8614</v>
      </c>
      <c r="K59" s="108">
        <f>I59+J59</f>
        <v>-253186</v>
      </c>
      <c r="L59" s="60"/>
    </row>
    <row r="60" spans="2:12" s="5" customFormat="1" ht="15" customHeight="1">
      <c r="B60" s="57" t="s">
        <v>0</v>
      </c>
      <c r="C60" s="76"/>
      <c r="D60" s="46"/>
      <c r="E60" s="46"/>
      <c r="F60" s="46"/>
      <c r="G60" s="46"/>
      <c r="H60" s="108">
        <f>H59</f>
        <v>-244572</v>
      </c>
      <c r="I60" s="108">
        <f>SUM(D60:H60)</f>
        <v>-244572</v>
      </c>
      <c r="J60" s="108">
        <f>J59</f>
        <v>-8614</v>
      </c>
      <c r="K60" s="108">
        <f>I60+J60</f>
        <v>-253186</v>
      </c>
      <c r="L60" s="60"/>
    </row>
    <row r="61" spans="2:12" s="5" customFormat="1" ht="23.25" customHeight="1" hidden="1">
      <c r="B61" s="114" t="s">
        <v>184</v>
      </c>
      <c r="C61" s="76"/>
      <c r="D61" s="46"/>
      <c r="E61" s="108"/>
      <c r="F61" s="46"/>
      <c r="G61" s="46"/>
      <c r="H61" s="108"/>
      <c r="I61" s="46"/>
      <c r="J61" s="108"/>
      <c r="K61" s="121"/>
      <c r="L61" s="60"/>
    </row>
    <row r="62" spans="2:12" s="5" customFormat="1" ht="15" customHeight="1">
      <c r="B62" s="119" t="s">
        <v>174</v>
      </c>
      <c r="C62" s="76"/>
      <c r="D62" s="46"/>
      <c r="E62" s="46"/>
      <c r="F62" s="46"/>
      <c r="G62" s="46"/>
      <c r="H62" s="46"/>
      <c r="I62" s="46"/>
      <c r="J62" s="108">
        <v>-1202</v>
      </c>
      <c r="K62" s="108">
        <f>I62+J62</f>
        <v>-1202</v>
      </c>
      <c r="L62" s="60"/>
    </row>
    <row r="63" spans="2:12" s="5" customFormat="1" ht="15" customHeight="1">
      <c r="B63" s="114" t="s">
        <v>183</v>
      </c>
      <c r="C63" s="76"/>
      <c r="D63" s="46"/>
      <c r="E63" s="46"/>
      <c r="F63" s="46"/>
      <c r="G63" s="46"/>
      <c r="H63" s="108"/>
      <c r="I63" s="108">
        <f>SUM(D63:H63)</f>
        <v>0</v>
      </c>
      <c r="J63" s="108"/>
      <c r="K63" s="108">
        <f>SUM(I63:J63)</f>
        <v>0</v>
      </c>
      <c r="L63" s="60"/>
    </row>
    <row r="64" spans="2:12" s="5" customFormat="1" ht="15" customHeight="1">
      <c r="B64" s="57" t="s">
        <v>322</v>
      </c>
      <c r="C64" s="76"/>
      <c r="D64" s="46">
        <f>SUM(D57:D62)</f>
        <v>1254281</v>
      </c>
      <c r="E64" s="46">
        <f>SUM(E57:E62)</f>
        <v>8406</v>
      </c>
      <c r="F64" s="46"/>
      <c r="G64" s="46">
        <f>SUM(G57:G62)</f>
        <v>0</v>
      </c>
      <c r="H64" s="46">
        <f>H57+H60+H58+H61+H63</f>
        <v>5077766</v>
      </c>
      <c r="I64" s="46">
        <f>SUM(D64:H64)</f>
        <v>6340453</v>
      </c>
      <c r="J64" s="46">
        <f>J57+J60+J61+J62+J58+J63</f>
        <v>15280</v>
      </c>
      <c r="K64" s="46">
        <f>I64+J64-1</f>
        <v>6355732</v>
      </c>
      <c r="L64" s="60"/>
    </row>
    <row r="65" spans="2:12" s="5" customFormat="1" ht="15" customHeight="1">
      <c r="B65" s="57"/>
      <c r="C65" s="76"/>
      <c r="D65" s="46"/>
      <c r="E65" s="46"/>
      <c r="F65" s="46"/>
      <c r="G65" s="46"/>
      <c r="H65" s="46"/>
      <c r="I65" s="46"/>
      <c r="J65" s="46"/>
      <c r="K65" s="46"/>
      <c r="L65" s="60"/>
    </row>
    <row r="66" spans="2:12" s="5" customFormat="1" ht="15" customHeight="1">
      <c r="B66" s="57"/>
      <c r="C66" s="76"/>
      <c r="D66" s="46"/>
      <c r="E66" s="46"/>
      <c r="F66" s="46"/>
      <c r="G66" s="46"/>
      <c r="H66" s="46"/>
      <c r="I66" s="46"/>
      <c r="J66" s="46"/>
      <c r="K66" s="46"/>
      <c r="L66" s="60"/>
    </row>
    <row r="67" spans="2:12" s="5" customFormat="1" ht="15" customHeight="1" hidden="1">
      <c r="B67" s="57"/>
      <c r="C67" s="76"/>
      <c r="D67" s="46"/>
      <c r="E67" s="46"/>
      <c r="F67" s="46"/>
      <c r="G67" s="46"/>
      <c r="H67" s="46"/>
      <c r="I67" s="46"/>
      <c r="J67" s="46"/>
      <c r="K67" s="46"/>
      <c r="L67" s="60"/>
    </row>
    <row r="68" spans="2:11" s="5" customFormat="1" ht="15" customHeight="1">
      <c r="B68" s="57"/>
      <c r="D68" s="6"/>
      <c r="E68" s="6"/>
      <c r="F68" s="6"/>
      <c r="G68" s="6"/>
      <c r="H68" s="6"/>
      <c r="I68" s="7"/>
      <c r="J68" s="6"/>
      <c r="K68" s="7"/>
    </row>
    <row r="69" spans="2:11" s="5" customFormat="1" ht="15" customHeight="1">
      <c r="B69" s="57"/>
      <c r="H69" s="6"/>
      <c r="I69" s="7"/>
      <c r="J69" s="6"/>
      <c r="K69" s="7"/>
    </row>
    <row r="70" spans="2:10" s="5" customFormat="1" ht="15" customHeight="1">
      <c r="B70" s="103" t="s">
        <v>303</v>
      </c>
      <c r="C70" s="83"/>
      <c r="D70" s="302" t="s">
        <v>304</v>
      </c>
      <c r="E70" s="302"/>
      <c r="I70" s="6"/>
      <c r="J70" s="6"/>
    </row>
    <row r="71" spans="2:11" s="5" customFormat="1" ht="15" customHeight="1">
      <c r="B71" s="25"/>
      <c r="C71" s="83"/>
      <c r="D71" s="38"/>
      <c r="E71" s="28"/>
      <c r="H71" s="6"/>
      <c r="J71" s="6"/>
      <c r="K71" s="6"/>
    </row>
    <row r="72" spans="2:10" s="5" customFormat="1" ht="15" customHeight="1">
      <c r="B72" s="103" t="s">
        <v>5</v>
      </c>
      <c r="C72" s="83"/>
      <c r="D72" s="302" t="s">
        <v>119</v>
      </c>
      <c r="E72" s="302"/>
      <c r="H72" s="6"/>
      <c r="J72" s="7"/>
    </row>
    <row r="73" spans="2:5" s="5" customFormat="1" ht="15" customHeight="1">
      <c r="B73" s="8"/>
      <c r="C73" s="18"/>
      <c r="D73" s="19"/>
      <c r="E73" s="19"/>
    </row>
    <row r="74" spans="2:10" s="5" customFormat="1" ht="15" customHeight="1">
      <c r="B74" s="4"/>
      <c r="C74" s="18"/>
      <c r="D74" s="19"/>
      <c r="E74" s="19"/>
      <c r="J74" s="6"/>
    </row>
    <row r="75" spans="4:11" s="5" customFormat="1" ht="15" customHeight="1">
      <c r="D75" s="60"/>
      <c r="E75" s="60"/>
      <c r="F75" s="60"/>
      <c r="G75" s="60"/>
      <c r="H75" s="60"/>
      <c r="I75" s="60"/>
      <c r="J75" s="60"/>
      <c r="K75" s="60"/>
    </row>
    <row r="76" spans="4:11" s="5" customFormat="1" ht="15" customHeight="1">
      <c r="D76" s="60"/>
      <c r="E76" s="60"/>
      <c r="F76" s="60"/>
      <c r="G76" s="60"/>
      <c r="H76" s="60"/>
      <c r="I76" s="60"/>
      <c r="J76" s="60"/>
      <c r="K76" s="60"/>
    </row>
    <row r="77" spans="4:11" s="5" customFormat="1" ht="15" customHeight="1">
      <c r="D77" s="60"/>
      <c r="E77" s="60"/>
      <c r="F77" s="60"/>
      <c r="G77" s="60"/>
      <c r="H77" s="60"/>
      <c r="I77" s="60"/>
      <c r="J77" s="60"/>
      <c r="K77" s="60"/>
    </row>
    <row r="78" spans="4:11" s="5" customFormat="1" ht="15" customHeight="1">
      <c r="D78" s="60"/>
      <c r="E78" s="60"/>
      <c r="F78" s="60"/>
      <c r="G78" s="60"/>
      <c r="H78" s="60"/>
      <c r="I78" s="60"/>
      <c r="J78" s="60"/>
      <c r="K78" s="60"/>
    </row>
    <row r="79" spans="4:11" s="5" customFormat="1" ht="15" customHeight="1">
      <c r="D79" s="21"/>
      <c r="E79" s="21"/>
      <c r="F79" s="21"/>
      <c r="G79" s="21"/>
      <c r="H79" s="21"/>
      <c r="I79" s="21"/>
      <c r="J79" s="60"/>
      <c r="K79" s="60"/>
    </row>
    <row r="80" s="5" customFormat="1" ht="15" customHeight="1">
      <c r="F80" s="6"/>
    </row>
    <row r="81" s="5" customFormat="1" ht="15" customHeight="1"/>
    <row r="82" s="5" customFormat="1" ht="15" customHeight="1"/>
    <row r="83" spans="4:6" s="5" customFormat="1" ht="15" customHeight="1">
      <c r="D83" s="7"/>
      <c r="F83" s="7"/>
    </row>
    <row r="84" spans="4:6" s="5" customFormat="1" ht="15" customHeight="1">
      <c r="D84" s="20"/>
      <c r="E84" s="20"/>
      <c r="F84" s="20"/>
    </row>
    <row r="85" spans="4:6" s="5" customFormat="1" ht="15" customHeight="1">
      <c r="D85" s="20"/>
      <c r="E85" s="20"/>
      <c r="F85" s="20"/>
    </row>
    <row r="86" s="5" customFormat="1" ht="15" customHeight="1"/>
    <row r="87" s="5" customFormat="1" ht="15" customHeight="1"/>
    <row r="88" s="5" customFormat="1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6">
    <mergeCell ref="D70:E70"/>
    <mergeCell ref="D72:E72"/>
    <mergeCell ref="B7:B10"/>
    <mergeCell ref="D7:I9"/>
    <mergeCell ref="J7:J10"/>
    <mergeCell ref="K7:K10"/>
  </mergeCells>
  <printOptions/>
  <pageMargins left="0.73" right="0" top="0.984251968503937" bottom="0" header="0.5118110236220472" footer="0.5118110236220472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aliya.begaly</dc:creator>
  <cp:keywords/>
  <dc:description/>
  <cp:lastModifiedBy>Svetlana Legotkina</cp:lastModifiedBy>
  <cp:lastPrinted>2015-05-15T09:50:40Z</cp:lastPrinted>
  <dcterms:created xsi:type="dcterms:W3CDTF">2010-03-01T05:36:07Z</dcterms:created>
  <dcterms:modified xsi:type="dcterms:W3CDTF">2015-05-15T10:30:33Z</dcterms:modified>
  <cp:category/>
  <cp:version/>
  <cp:contentType/>
  <cp:contentStatus/>
</cp:coreProperties>
</file>