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565" activeTab="0"/>
  </bookViews>
  <sheets>
    <sheet name="ОФП" sheetId="1" r:id="rId1"/>
    <sheet name="ОСД" sheetId="2" r:id="rId2"/>
    <sheet name="ДДС" sheetId="3" r:id="rId3"/>
    <sheet name="ОИК" sheetId="4" r:id="rId4"/>
  </sheets>
  <externalReferences>
    <externalReference r:id="rId7"/>
  </externalReferences>
  <definedNames>
    <definedName name="_xlnm.Print_Area" localSheetId="2">'ДДС'!$A$1:$I$50</definedName>
    <definedName name="_xlnm.Print_Area" localSheetId="3">'ОИК'!$A$1:$G$28</definedName>
    <definedName name="_xlnm.Print_Area" localSheetId="1">'ОСД'!$A$1:$I$29</definedName>
    <definedName name="_xlnm.Print_Area" localSheetId="0">'ОФП'!$A$1:$I$51</definedName>
  </definedNames>
  <calcPr fullCalcOnLoad="1"/>
</workbook>
</file>

<file path=xl/sharedStrings.xml><?xml version="1.0" encoding="utf-8"?>
<sst xmlns="http://schemas.openxmlformats.org/spreadsheetml/2006/main" count="175" uniqueCount="130">
  <si>
    <t>АО Каспий Нефть</t>
  </si>
  <si>
    <t>Отчет о финансовом положении</t>
  </si>
  <si>
    <t xml:space="preserve">В тысячах тенге </t>
  </si>
  <si>
    <t>примечание</t>
  </si>
  <si>
    <t>на конец отчетного периода</t>
  </si>
  <si>
    <t>на начало отчетного периода</t>
  </si>
  <si>
    <t>Активы</t>
  </si>
  <si>
    <t>Внеоборотные активы</t>
  </si>
  <si>
    <t>Основные средства</t>
  </si>
  <si>
    <t>Нематериальные активы</t>
  </si>
  <si>
    <t>5</t>
  </si>
  <si>
    <t>Прочие финансовые активы</t>
  </si>
  <si>
    <t>6</t>
  </si>
  <si>
    <t>Прочие активы</t>
  </si>
  <si>
    <t>7</t>
  </si>
  <si>
    <t>Незавершенное строительство и оборудование к установке</t>
  </si>
  <si>
    <t>8</t>
  </si>
  <si>
    <t>Оборотные активы</t>
  </si>
  <si>
    <t>Товарно-материальные запасы</t>
  </si>
  <si>
    <t>9</t>
  </si>
  <si>
    <t>Торговая и прочая дебиторская задолженность</t>
  </si>
  <si>
    <t>10</t>
  </si>
  <si>
    <t>Предоплата по подоходному налогу</t>
  </si>
  <si>
    <t>Прочие текущие активы</t>
  </si>
  <si>
    <t>11</t>
  </si>
  <si>
    <t>Денежные средства и их эквиваленты</t>
  </si>
  <si>
    <t>12</t>
  </si>
  <si>
    <t>Итого активов</t>
  </si>
  <si>
    <t>Капитал и обязательства</t>
  </si>
  <si>
    <t>Капитал</t>
  </si>
  <si>
    <t>Уставный капитал</t>
  </si>
  <si>
    <t>13</t>
  </si>
  <si>
    <t>Нераспределенная прибыль</t>
  </si>
  <si>
    <t>Итого капитала</t>
  </si>
  <si>
    <t>Долгосрочные обязательства</t>
  </si>
  <si>
    <t>Займы</t>
  </si>
  <si>
    <t>14</t>
  </si>
  <si>
    <t>-</t>
  </si>
  <si>
    <t>Резервы</t>
  </si>
  <si>
    <t>15</t>
  </si>
  <si>
    <t>Обязательство по отсроченному подоходному налогу</t>
  </si>
  <si>
    <t>26</t>
  </si>
  <si>
    <t>Текущие обязательства</t>
  </si>
  <si>
    <t>Торговая и прочая кредиторская задолженность</t>
  </si>
  <si>
    <t>16</t>
  </si>
  <si>
    <t>Обязательства по налогам и другим обязательным платежам</t>
  </si>
  <si>
    <t>17</t>
  </si>
  <si>
    <t>Корпоративный подоходный налог к уплате</t>
  </si>
  <si>
    <t>Налог на сверхприбыль</t>
  </si>
  <si>
    <t>Прочие текущие обязательства</t>
  </si>
  <si>
    <t>18</t>
  </si>
  <si>
    <t>Итого капитала и обязательств</t>
  </si>
  <si>
    <t>Балансовая стоимость 1 простой акции, тенге</t>
  </si>
  <si>
    <t>Отчет о совокупном доходе</t>
  </si>
  <si>
    <t>за отчетный период</t>
  </si>
  <si>
    <t>за предыдущий период</t>
  </si>
  <si>
    <t>Доходы</t>
  </si>
  <si>
    <t>19</t>
  </si>
  <si>
    <t>Себестоимость</t>
  </si>
  <si>
    <t>20</t>
  </si>
  <si>
    <t>Валовая прибыль</t>
  </si>
  <si>
    <t>Расходы по реализации</t>
  </si>
  <si>
    <t>21</t>
  </si>
  <si>
    <t>Административные расходы</t>
  </si>
  <si>
    <t>22</t>
  </si>
  <si>
    <t>Финансовые доходы</t>
  </si>
  <si>
    <t>23</t>
  </si>
  <si>
    <t>Расходы на финансирование</t>
  </si>
  <si>
    <t>24</t>
  </si>
  <si>
    <t>Доход/убыток от курсовой разницы, нетто</t>
  </si>
  <si>
    <t>Прочие прибыли и убытки</t>
  </si>
  <si>
    <t>25</t>
  </si>
  <si>
    <t>Прибыль до налогообложения</t>
  </si>
  <si>
    <t>Расходы по подоходному налогу</t>
  </si>
  <si>
    <t>Прибыль за период</t>
  </si>
  <si>
    <t>Итого совокупный доход за период за вычетом налогов</t>
  </si>
  <si>
    <t>Прибыль на акцию</t>
  </si>
  <si>
    <t>Отчет о движении денежных средств</t>
  </si>
  <si>
    <t>в тысячах тенге</t>
  </si>
  <si>
    <t>ОПЕРАЦИОННАЯ ДЕЯТЕЛЬНОСТЬ:</t>
  </si>
  <si>
    <t>Поступление денежных средств:</t>
  </si>
  <si>
    <t>Реализация товаров и услуг</t>
  </si>
  <si>
    <t>Полученные вознаграждения</t>
  </si>
  <si>
    <t>Авансы полученные</t>
  </si>
  <si>
    <t>Прочие поступления</t>
  </si>
  <si>
    <t>Всего поступление денежных средств</t>
  </si>
  <si>
    <t>Выбытие денежных средств:</t>
  </si>
  <si>
    <t>Платежи поставщикам за товары и услуги</t>
  </si>
  <si>
    <t>Авансы выданные</t>
  </si>
  <si>
    <t>Выплаты по заработной плате</t>
  </si>
  <si>
    <t>Выплаты вознаграждения по займам</t>
  </si>
  <si>
    <t>Корпоративный подоходный налог</t>
  </si>
  <si>
    <t xml:space="preserve">Другие платежи в бюджет </t>
  </si>
  <si>
    <t>Прочие выплаты</t>
  </si>
  <si>
    <t>Чистые денежные потоки, полученные от операционной деятельности</t>
  </si>
  <si>
    <t>ИНВЕСТИЦИОННАЯ ДЕЯТЕЛЬНОСТЬ:</t>
  </si>
  <si>
    <t>Реализация основных средств</t>
  </si>
  <si>
    <t xml:space="preserve">Выбытие денежных средств: </t>
  </si>
  <si>
    <t>Приобретение основных средств</t>
  </si>
  <si>
    <t>Приобретение других долгосрочных активов</t>
  </si>
  <si>
    <t>Приобретение нематериальных активов</t>
  </si>
  <si>
    <t>Чистые денежные потоки, полученные от / (использованные в) инвестиционной деятельности</t>
  </si>
  <si>
    <t>В тысячах тенге</t>
  </si>
  <si>
    <t>ФИНАНСОВАЯ ДЕЯТЕЛЬНОСТЬ</t>
  </si>
  <si>
    <t>Прим.</t>
  </si>
  <si>
    <t>Поступления от эмиссии акций</t>
  </si>
  <si>
    <t>Выплата дивидендов</t>
  </si>
  <si>
    <t>Погашение займов</t>
  </si>
  <si>
    <t>Прочие выбытия</t>
  </si>
  <si>
    <t>Чистые денежные потоки использованные в финансовой деятельности</t>
  </si>
  <si>
    <t>Положительная/(отрицательная) курсовая разница по денежным средствам и их эквивалентам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</si>
  <si>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</si>
  <si>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</si>
  <si>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</si>
  <si>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 xml:space="preserve">Резервы </t>
  </si>
  <si>
    <t xml:space="preserve">На 1 января 2013 года </t>
  </si>
  <si>
    <t>Ошибки прошлых лет</t>
  </si>
  <si>
    <t>Пересчитанное сальдо</t>
  </si>
  <si>
    <t>Операции с собственниками</t>
  </si>
  <si>
    <t xml:space="preserve">Итого совокупный доход </t>
  </si>
  <si>
    <t xml:space="preserve">На 30 сентября 2013 года </t>
  </si>
  <si>
    <t xml:space="preserve">На 1 января 2012 года </t>
  </si>
  <si>
    <t xml:space="preserve">На 30 сентября 2012 года </t>
  </si>
  <si>
    <t xml:space="preserve">Генеральный директор </t>
  </si>
  <si>
    <t>Абайылданов Б.К.</t>
  </si>
  <si>
    <t>Главный быхгалтер</t>
  </si>
  <si>
    <t>Лебедева С.В.</t>
  </si>
  <si>
    <t>за период, закончившийся 30 сентября 2013 года.</t>
  </si>
  <si>
    <t>Отчет об изменениях в капитале</t>
  </si>
  <si>
    <t xml:space="preserve">Нераспределенная прибыль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</si>
</sst>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/>
      <protection/>
    </xf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164" fontId="2" fillId="0" borderId="0" xfId="72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64" fontId="2" fillId="0" borderId="10" xfId="72" applyNumberFormat="1" applyFont="1" applyFill="1" applyBorder="1" applyAlignment="1">
      <alignment horizontal="center" vertical="center" wrapText="1"/>
    </xf>
    <xf numFmtId="164" fontId="2" fillId="0" borderId="0" xfId="72" applyNumberFormat="1" applyFont="1" applyFill="1" applyBorder="1" applyAlignment="1">
      <alignment horizontal="center" vertical="center" wrapText="1"/>
    </xf>
    <xf numFmtId="164" fontId="10" fillId="0" borderId="10" xfId="72" applyNumberFormat="1" applyFont="1" applyFill="1" applyBorder="1" applyAlignment="1">
      <alignment horizontal="center" vertical="center" wrapText="1"/>
    </xf>
    <xf numFmtId="164" fontId="10" fillId="0" borderId="0" xfId="72" applyNumberFormat="1" applyFont="1" applyFill="1" applyBorder="1" applyAlignment="1">
      <alignment horizontal="center" vertical="center" wrapText="1"/>
    </xf>
    <xf numFmtId="164" fontId="9" fillId="0" borderId="0" xfId="72" applyNumberFormat="1" applyFont="1" applyFill="1" applyAlignment="1">
      <alignment horizontal="center" vertical="center" wrapText="1"/>
    </xf>
    <xf numFmtId="164" fontId="2" fillId="0" borderId="0" xfId="72" applyNumberFormat="1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10" xfId="72" applyNumberFormat="1" applyFont="1" applyFill="1" applyBorder="1" applyAlignment="1">
      <alignment horizontal="center" vertical="center"/>
    </xf>
    <xf numFmtId="164" fontId="2" fillId="0" borderId="0" xfId="72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0" fillId="0" borderId="10" xfId="0" applyFont="1" applyBorder="1" applyAlignment="1">
      <alignment vertical="center" wrapText="1"/>
    </xf>
    <xf numFmtId="164" fontId="7" fillId="0" borderId="10" xfId="72" applyNumberFormat="1" applyFont="1" applyFill="1" applyBorder="1" applyAlignment="1">
      <alignment horizontal="center" vertical="center"/>
    </xf>
    <xf numFmtId="164" fontId="7" fillId="0" borderId="0" xfId="72" applyNumberFormat="1" applyFont="1" applyFill="1" applyBorder="1" applyAlignment="1">
      <alignment horizontal="center" vertical="center"/>
    </xf>
    <xf numFmtId="164" fontId="7" fillId="0" borderId="0" xfId="72" applyNumberFormat="1" applyFont="1" applyFill="1" applyBorder="1" applyAlignment="1">
      <alignment horizontal="center" vertical="center" wrapText="1"/>
    </xf>
    <xf numFmtId="43" fontId="2" fillId="0" borderId="0" xfId="72" applyFont="1" applyAlignment="1">
      <alignment/>
    </xf>
    <xf numFmtId="0" fontId="7" fillId="0" borderId="0" xfId="0" applyFont="1" applyAlignment="1">
      <alignment vertical="center" wrapText="1"/>
    </xf>
    <xf numFmtId="164" fontId="7" fillId="0" borderId="0" xfId="72" applyNumberFormat="1" applyFont="1" applyFill="1" applyAlignment="1">
      <alignment horizontal="center" vertical="center" wrapText="1"/>
    </xf>
    <xf numFmtId="164" fontId="7" fillId="0" borderId="11" xfId="7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4" fontId="7" fillId="0" borderId="11" xfId="72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wrapText="1"/>
    </xf>
    <xf numFmtId="0" fontId="11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0" borderId="0" xfId="72" applyNumberFormat="1" applyFont="1" applyFill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72" applyNumberFormat="1" applyFont="1" applyFill="1" applyBorder="1" applyAlignment="1">
      <alignment horizontal="right" vertical="center"/>
    </xf>
    <xf numFmtId="164" fontId="2" fillId="0" borderId="10" xfId="72" applyNumberFormat="1" applyFont="1" applyFill="1" applyBorder="1" applyAlignment="1">
      <alignment horizontal="right" vertical="center"/>
    </xf>
    <xf numFmtId="164" fontId="2" fillId="0" borderId="10" xfId="72" applyNumberFormat="1" applyFont="1" applyBorder="1" applyAlignment="1">
      <alignment horizontal="right" vertical="center"/>
    </xf>
    <xf numFmtId="164" fontId="7" fillId="0" borderId="0" xfId="72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72" applyNumberFormat="1" applyFont="1" applyFill="1" applyAlignment="1">
      <alignment horizontal="right" vertical="center"/>
    </xf>
    <xf numFmtId="164" fontId="2" fillId="0" borderId="0" xfId="72" applyNumberFormat="1" applyFont="1" applyAlignment="1">
      <alignment horizontal="right" vertical="center"/>
    </xf>
    <xf numFmtId="164" fontId="7" fillId="0" borderId="11" xfId="72" applyNumberFormat="1" applyFont="1" applyFill="1" applyBorder="1" applyAlignment="1">
      <alignment horizontal="right" vertical="center"/>
    </xf>
    <xf numFmtId="164" fontId="7" fillId="0" borderId="11" xfId="72" applyNumberFormat="1" applyFont="1" applyBorder="1" applyAlignment="1">
      <alignment horizontal="right" vertical="center"/>
    </xf>
    <xf numFmtId="43" fontId="2" fillId="0" borderId="0" xfId="0" applyNumberFormat="1" applyFont="1" applyFill="1" applyAlignment="1">
      <alignment/>
    </xf>
    <xf numFmtId="164" fontId="7" fillId="0" borderId="10" xfId="72" applyNumberFormat="1" applyFont="1" applyBorder="1" applyAlignment="1">
      <alignment horizontal="right" vertical="center"/>
    </xf>
    <xf numFmtId="164" fontId="7" fillId="0" borderId="0" xfId="72" applyNumberFormat="1" applyFont="1" applyBorder="1" applyAlignment="1">
      <alignment horizontal="right" vertical="center"/>
    </xf>
    <xf numFmtId="164" fontId="2" fillId="0" borderId="0" xfId="72" applyNumberFormat="1" applyFont="1" applyBorder="1" applyAlignment="1">
      <alignment horizontal="right" vertical="center"/>
    </xf>
    <xf numFmtId="0" fontId="7" fillId="0" borderId="14" xfId="0" applyFont="1" applyBorder="1" applyAlignment="1">
      <alignment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Fill="1" applyBorder="1" applyAlignment="1">
      <alignment/>
    </xf>
    <xf numFmtId="164" fontId="2" fillId="0" borderId="14" xfId="72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top" wrapText="1"/>
    </xf>
    <xf numFmtId="43" fontId="7" fillId="0" borderId="14" xfId="72" applyFont="1" applyBorder="1" applyAlignment="1">
      <alignment/>
    </xf>
    <xf numFmtId="49" fontId="7" fillId="0" borderId="14" xfId="72" applyNumberFormat="1" applyFont="1" applyBorder="1" applyAlignment="1">
      <alignment horizontal="center" vertical="center"/>
    </xf>
    <xf numFmtId="164" fontId="7" fillId="0" borderId="14" xfId="72" applyNumberFormat="1" applyFont="1" applyFill="1" applyBorder="1" applyAlignment="1">
      <alignment/>
    </xf>
    <xf numFmtId="164" fontId="7" fillId="0" borderId="14" xfId="72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14" xfId="72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vertical="center"/>
    </xf>
    <xf numFmtId="164" fontId="2" fillId="0" borderId="14" xfId="72" applyNumberFormat="1" applyFont="1" applyFill="1" applyBorder="1" applyAlignment="1">
      <alignment vertical="center"/>
    </xf>
    <xf numFmtId="164" fontId="7" fillId="0" borderId="0" xfId="72" applyNumberFormat="1" applyFont="1" applyFill="1" applyBorder="1" applyAlignment="1">
      <alignment/>
    </xf>
    <xf numFmtId="164" fontId="7" fillId="0" borderId="0" xfId="72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3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 wrapText="1"/>
    </xf>
    <xf numFmtId="43" fontId="2" fillId="0" borderId="0" xfId="72" applyFont="1" applyFill="1" applyAlignment="1">
      <alignment/>
    </xf>
    <xf numFmtId="164" fontId="2" fillId="0" borderId="14" xfId="72" applyNumberFormat="1" applyFont="1" applyFill="1" applyBorder="1" applyAlignment="1">
      <alignment/>
    </xf>
    <xf numFmtId="43" fontId="2" fillId="0" borderId="14" xfId="72" applyNumberFormat="1" applyFont="1" applyFill="1" applyBorder="1" applyAlignment="1">
      <alignment/>
    </xf>
    <xf numFmtId="43" fontId="7" fillId="0" borderId="14" xfId="72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164" fontId="2" fillId="0" borderId="0" xfId="72" applyNumberFormat="1" applyFont="1" applyFill="1" applyBorder="1" applyAlignment="1">
      <alignment horizontal="center"/>
    </xf>
    <xf numFmtId="164" fontId="2" fillId="0" borderId="0" xfId="72" applyNumberFormat="1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46" fillId="0" borderId="0" xfId="0" applyFont="1" applyBorder="1" applyAlignment="1">
      <alignment vertic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ook1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3 2" xfId="61"/>
    <cellStyle name="Обычный 4 2" xfId="62"/>
    <cellStyle name="Обычный 6" xfId="63"/>
    <cellStyle name="Обычный 8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Финансовый 2" xfId="74"/>
    <cellStyle name="Финансовый 2 2" xfId="75"/>
    <cellStyle name="Финансовый 2 3" xfId="76"/>
    <cellStyle name="Финансовый 2 4" xfId="77"/>
    <cellStyle name="Финансовый 2 5" xfId="78"/>
    <cellStyle name="Финансовый 2 6" xfId="79"/>
    <cellStyle name="Финансовый 3" xfId="80"/>
    <cellStyle name="Финансовый 4 2" xfId="81"/>
    <cellStyle name="Финансовый 6" xfId="82"/>
    <cellStyle name="Финансовый 7" xfId="83"/>
    <cellStyle name="Финансовый 7 2" xfId="84"/>
    <cellStyle name="Финансовый 8" xfId="85"/>
    <cellStyle name="Финансовый 9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\&#1052;&#1086;&#1080;%20&#1076;&#1086;&#1082;&#1091;&#1084;&#1077;&#1085;&#1090;&#1099;\My%20Documents\&#1057;&#1074;&#1077;&#1090;&#1083;&#1072;&#1085;&#1072;\2013\&#1060;&#1080;&#1085;&#1072;&#1085;&#1089;&#1086;&#1074;&#1072;&#1103;%20&#1086;&#1090;&#1095;&#1077;&#1090;&#1085;&#1086;&#1089;&#1090;&#1100;\9%20&#1084;&#1077;&#1089;&#1103;&#1094;&#1077;&#1074;\&#1060;&#1080;&#1085;&#1072;&#1085;&#1089;&#1086;&#1074;&#1072;&#1103;%20&#1086;&#1090;&#1095;&#1077;&#1090;&#1085;&#1086;&#1089;&#1090;&#1100;%209%20&#1084;&#1077;&#1089;.%202013&#1075;.%2004.11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ка"/>
      <sheetName val="формы по мсфо "/>
      <sheetName val="баланс "/>
      <sheetName val="инвест.1 квартал 2012"/>
      <sheetName val="для опиу2010"/>
      <sheetName val="баланс  (2)"/>
      <sheetName val="ф2 "/>
      <sheetName val="ф3 "/>
      <sheetName val="ф4 "/>
      <sheetName val="резервы"/>
      <sheetName val="Лист1"/>
      <sheetName val="ф1"/>
      <sheetName val="ф2"/>
      <sheetName val="ф3"/>
      <sheetName val="расш.прочих пост и выб."/>
      <sheetName val="ф3-1"/>
      <sheetName val="ф4"/>
      <sheetName val="ф5_расх.пер"/>
      <sheetName val="расш.к ф5"/>
      <sheetName val="Т4_ВП"/>
      <sheetName val="расш.к Т4_ВП"/>
      <sheetName val="Т5_Пр"/>
      <sheetName val="ТМЗза 1полугодие11"/>
      <sheetName val="Т10_Резервы"/>
      <sheetName val="Т1_ОС "/>
      <sheetName val="Т3_Налоги"/>
      <sheetName val="Т6_ДЗ"/>
      <sheetName val="Т7_КЗ"/>
      <sheetName val="План счетов"/>
      <sheetName val="Приложение"/>
      <sheetName val="Т9_ОНО"/>
      <sheetName val="1200"/>
      <sheetName val="Лист2"/>
      <sheetName val="нма"/>
      <sheetName val="ос 2011"/>
      <sheetName val="расх. периода"/>
      <sheetName val="расш. к расх. периода"/>
      <sheetName val="вознагр."/>
      <sheetName val="изменения на2603"/>
      <sheetName val="Лист3"/>
      <sheetName val="ф2  "/>
      <sheetName val="ос (2)"/>
      <sheetName val="ос"/>
      <sheetName val="нма2"/>
      <sheetName val="инвестиции"/>
      <sheetName val="мсфо с пометками"/>
      <sheetName val="валют.риск"/>
    </sheetNames>
    <sheetDataSet>
      <sheetData sheetId="0">
        <row r="14">
          <cell r="J14">
            <v>1471078</v>
          </cell>
          <cell r="L14">
            <v>4107305</v>
          </cell>
        </row>
        <row r="26">
          <cell r="J26">
            <v>4273571</v>
          </cell>
          <cell r="L26">
            <v>8616123</v>
          </cell>
        </row>
        <row r="36">
          <cell r="J36">
            <v>744382</v>
          </cell>
          <cell r="L36">
            <v>746704</v>
          </cell>
        </row>
        <row r="47">
          <cell r="J47">
            <v>307486</v>
          </cell>
          <cell r="L47">
            <v>323236</v>
          </cell>
        </row>
        <row r="51">
          <cell r="J51">
            <v>588867</v>
          </cell>
          <cell r="L51">
            <v>1163265</v>
          </cell>
        </row>
        <row r="63">
          <cell r="J63">
            <v>57760</v>
          </cell>
        </row>
        <row r="64">
          <cell r="L64">
            <v>64620</v>
          </cell>
        </row>
        <row r="66">
          <cell r="J66">
            <v>15315</v>
          </cell>
          <cell r="L66">
            <v>19396</v>
          </cell>
        </row>
        <row r="68">
          <cell r="J68">
            <v>1573</v>
          </cell>
          <cell r="L68">
            <v>1573</v>
          </cell>
        </row>
        <row r="69">
          <cell r="J69">
            <v>12125511</v>
          </cell>
          <cell r="L69">
            <v>14467050</v>
          </cell>
        </row>
        <row r="80">
          <cell r="J80">
            <v>2483638</v>
          </cell>
          <cell r="L80">
            <v>2329946</v>
          </cell>
        </row>
        <row r="84">
          <cell r="J84">
            <v>9798</v>
          </cell>
          <cell r="L84">
            <v>8068</v>
          </cell>
        </row>
        <row r="90">
          <cell r="J90">
            <v>139446</v>
          </cell>
          <cell r="L90">
            <v>114829</v>
          </cell>
        </row>
        <row r="91">
          <cell r="J91">
            <v>1344187</v>
          </cell>
          <cell r="L91">
            <v>2031539</v>
          </cell>
        </row>
        <row r="94">
          <cell r="M94">
            <v>0</v>
          </cell>
        </row>
        <row r="95">
          <cell r="K95">
            <v>3014800</v>
          </cell>
        </row>
        <row r="96">
          <cell r="K96">
            <v>7611699</v>
          </cell>
          <cell r="M96">
            <v>12197264</v>
          </cell>
        </row>
        <row r="105">
          <cell r="K105">
            <v>12854</v>
          </cell>
          <cell r="M105">
            <v>10222</v>
          </cell>
        </row>
        <row r="109">
          <cell r="K109">
            <v>1189137</v>
          </cell>
          <cell r="M109">
            <v>627004</v>
          </cell>
        </row>
        <row r="113">
          <cell r="K113">
            <v>109798</v>
          </cell>
          <cell r="M113">
            <v>93176</v>
          </cell>
        </row>
        <row r="119">
          <cell r="K119">
            <v>42529</v>
          </cell>
          <cell r="M119">
            <v>42529</v>
          </cell>
        </row>
        <row r="121">
          <cell r="K121">
            <v>1479</v>
          </cell>
          <cell r="M121">
            <v>0</v>
          </cell>
        </row>
        <row r="125">
          <cell r="K125">
            <v>1184561</v>
          </cell>
          <cell r="M125">
            <v>1049581</v>
          </cell>
        </row>
        <row r="126">
          <cell r="K126">
            <v>699868</v>
          </cell>
          <cell r="M126">
            <v>735662</v>
          </cell>
        </row>
        <row r="128">
          <cell r="K128">
            <v>100000</v>
          </cell>
          <cell r="M128">
            <v>100000</v>
          </cell>
        </row>
        <row r="131">
          <cell r="K131">
            <v>9705686</v>
          </cell>
          <cell r="M131">
            <v>19231392</v>
          </cell>
        </row>
        <row r="192">
          <cell r="R192">
            <v>57266</v>
          </cell>
        </row>
        <row r="200">
          <cell r="P200">
            <v>50832</v>
          </cell>
        </row>
        <row r="202">
          <cell r="L202">
            <v>874149</v>
          </cell>
        </row>
        <row r="203">
          <cell r="L203">
            <v>1900588</v>
          </cell>
        </row>
        <row r="214">
          <cell r="L214">
            <v>4026783</v>
          </cell>
        </row>
        <row r="216">
          <cell r="L216">
            <v>3966878</v>
          </cell>
        </row>
      </sheetData>
      <sheetData sheetId="1">
        <row r="22">
          <cell r="E22">
            <v>1471078</v>
          </cell>
        </row>
      </sheetData>
      <sheetData sheetId="6">
        <row r="22">
          <cell r="H22">
            <v>51459304</v>
          </cell>
          <cell r="I22">
            <v>38855483</v>
          </cell>
        </row>
        <row r="23">
          <cell r="H23">
            <v>6622655</v>
          </cell>
          <cell r="I23">
            <v>4426495</v>
          </cell>
        </row>
        <row r="25">
          <cell r="H25">
            <v>17903698</v>
          </cell>
          <cell r="I25">
            <v>12335601</v>
          </cell>
        </row>
        <row r="26">
          <cell r="H26">
            <v>1084543</v>
          </cell>
          <cell r="I26">
            <v>1082008</v>
          </cell>
        </row>
        <row r="27">
          <cell r="H27">
            <v>84813</v>
          </cell>
          <cell r="I27">
            <v>207719</v>
          </cell>
        </row>
        <row r="28">
          <cell r="H28">
            <v>128101</v>
          </cell>
          <cell r="I28">
            <v>111668</v>
          </cell>
        </row>
        <row r="30">
          <cell r="H30">
            <v>39331</v>
          </cell>
          <cell r="I30">
            <v>9641</v>
          </cell>
        </row>
        <row r="31">
          <cell r="H31">
            <v>44348</v>
          </cell>
          <cell r="I31">
            <v>239440</v>
          </cell>
        </row>
        <row r="36">
          <cell r="H36">
            <v>9318582</v>
          </cell>
          <cell r="I36">
            <v>6804305</v>
          </cell>
        </row>
        <row r="37">
          <cell r="I37">
            <v>13881224</v>
          </cell>
        </row>
        <row r="113">
          <cell r="I113">
            <v>96355</v>
          </cell>
          <cell r="Q113">
            <v>27125</v>
          </cell>
        </row>
      </sheetData>
      <sheetData sheetId="7">
        <row r="26">
          <cell r="G26">
            <v>47729959</v>
          </cell>
          <cell r="H26">
            <v>23986841</v>
          </cell>
        </row>
        <row r="28">
          <cell r="H28">
            <v>7190938</v>
          </cell>
        </row>
        <row r="30">
          <cell r="G30">
            <v>29840</v>
          </cell>
          <cell r="H30">
            <v>6850</v>
          </cell>
        </row>
        <row r="31">
          <cell r="G31">
            <v>46581</v>
          </cell>
          <cell r="H31">
            <v>85913</v>
          </cell>
        </row>
        <row r="34">
          <cell r="G34">
            <v>7473697</v>
          </cell>
          <cell r="H34">
            <v>3819055</v>
          </cell>
        </row>
        <row r="35">
          <cell r="G35">
            <v>1110408</v>
          </cell>
          <cell r="H35">
            <v>784143</v>
          </cell>
        </row>
        <row r="36">
          <cell r="G36">
            <v>779656</v>
          </cell>
          <cell r="H36">
            <v>860699</v>
          </cell>
        </row>
        <row r="39">
          <cell r="G39">
            <v>20963352</v>
          </cell>
          <cell r="H39">
            <v>10317810</v>
          </cell>
        </row>
        <row r="40">
          <cell r="G40">
            <v>249305</v>
          </cell>
          <cell r="H40">
            <v>259685</v>
          </cell>
        </row>
        <row r="45">
          <cell r="G45">
            <v>4709</v>
          </cell>
          <cell r="H45">
            <v>100</v>
          </cell>
        </row>
        <row r="58">
          <cell r="G58">
            <v>1220071</v>
          </cell>
          <cell r="H58">
            <v>1010443</v>
          </cell>
        </row>
        <row r="59">
          <cell r="H59">
            <v>3400</v>
          </cell>
        </row>
        <row r="60">
          <cell r="G60">
            <v>3355129</v>
          </cell>
          <cell r="H60">
            <v>1832659</v>
          </cell>
        </row>
        <row r="76">
          <cell r="H76">
            <v>757956</v>
          </cell>
        </row>
        <row r="81">
          <cell r="G81">
            <v>10057191</v>
          </cell>
        </row>
        <row r="83">
          <cell r="H83">
            <v>720000</v>
          </cell>
        </row>
        <row r="85">
          <cell r="G85">
            <v>33947</v>
          </cell>
          <cell r="H85">
            <v>7062</v>
          </cell>
        </row>
        <row r="87">
          <cell r="H87">
            <v>1272688</v>
          </cell>
        </row>
        <row r="111">
          <cell r="T111">
            <v>4327817</v>
          </cell>
          <cell r="AA111">
            <v>1532522</v>
          </cell>
        </row>
      </sheetData>
      <sheetData sheetId="8">
        <row r="22">
          <cell r="F22">
            <v>100000</v>
          </cell>
          <cell r="I22">
            <v>0</v>
          </cell>
          <cell r="J22">
            <v>9438904</v>
          </cell>
        </row>
        <row r="38">
          <cell r="J38">
            <v>-9438904</v>
          </cell>
        </row>
        <row r="54">
          <cell r="F54">
            <v>100000</v>
          </cell>
          <cell r="I54">
            <v>0</v>
          </cell>
          <cell r="J54">
            <v>9705685</v>
          </cell>
        </row>
        <row r="55">
          <cell r="J55">
            <v>0</v>
          </cell>
        </row>
        <row r="58">
          <cell r="J58">
            <v>16568097</v>
          </cell>
        </row>
        <row r="81">
          <cell r="J81">
            <v>-7042390</v>
          </cell>
        </row>
      </sheetData>
      <sheetData sheetId="44">
        <row r="60">
          <cell r="W60">
            <v>348563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3:J51"/>
  <sheetViews>
    <sheetView tabSelected="1" zoomScalePageLayoutView="0" workbookViewId="0" topLeftCell="A4">
      <selection activeCell="G24" sqref="G24"/>
    </sheetView>
  </sheetViews>
  <sheetFormatPr defaultColWidth="9.00390625" defaultRowHeight="12.75"/>
  <cols>
    <col min="1" max="1" width="9.125" style="5" customWidth="1"/>
    <col min="2" max="2" width="53.75390625" style="5" bestFit="1" customWidth="1"/>
    <col min="3" max="3" width="9.625" style="5" customWidth="1"/>
    <col min="4" max="4" width="21.375" style="6" customWidth="1"/>
    <col min="5" max="5" width="18.25390625" style="6" customWidth="1"/>
    <col min="6" max="6" width="12.375" style="6" customWidth="1"/>
    <col min="7" max="7" width="20.625" style="7" customWidth="1"/>
    <col min="8" max="8" width="19.875" style="5" customWidth="1"/>
    <col min="9" max="9" width="19.875" style="8" customWidth="1"/>
    <col min="10" max="10" width="20.125" style="5" customWidth="1"/>
    <col min="11" max="11" width="23.75390625" style="5" customWidth="1"/>
    <col min="12" max="16384" width="9.125" style="5" customWidth="1"/>
  </cols>
  <sheetData>
    <row r="3" ht="15.75">
      <c r="B3" s="4" t="s">
        <v>0</v>
      </c>
    </row>
    <row r="5" ht="15.75">
      <c r="B5" s="9" t="s">
        <v>1</v>
      </c>
    </row>
    <row r="6" ht="15.75">
      <c r="B6" s="9" t="s">
        <v>127</v>
      </c>
    </row>
    <row r="7" ht="21.75" customHeight="1">
      <c r="B7" s="5" t="s">
        <v>2</v>
      </c>
    </row>
    <row r="8" spans="2:8" ht="15.75">
      <c r="B8" s="103"/>
      <c r="C8" s="104" t="s">
        <v>3</v>
      </c>
      <c r="D8" s="106" t="s">
        <v>4</v>
      </c>
      <c r="E8" s="106" t="s">
        <v>5</v>
      </c>
      <c r="F8" s="107"/>
      <c r="G8" s="107"/>
      <c r="H8" s="4"/>
    </row>
    <row r="9" spans="2:8" ht="15.75">
      <c r="B9" s="103"/>
      <c r="C9" s="105"/>
      <c r="D9" s="106"/>
      <c r="E9" s="106"/>
      <c r="F9" s="107"/>
      <c r="G9" s="107"/>
      <c r="H9" s="4"/>
    </row>
    <row r="10" spans="2:9" s="4" customFormat="1" ht="15.75">
      <c r="B10" s="69" t="s">
        <v>6</v>
      </c>
      <c r="C10" s="70"/>
      <c r="D10" s="71"/>
      <c r="E10" s="71"/>
      <c r="F10" s="72"/>
      <c r="G10" s="73"/>
      <c r="I10" s="74"/>
    </row>
    <row r="11" spans="2:9" s="4" customFormat="1" ht="15.75">
      <c r="B11" s="69" t="s">
        <v>7</v>
      </c>
      <c r="C11" s="70"/>
      <c r="D11" s="71"/>
      <c r="E11" s="71"/>
      <c r="F11" s="72"/>
      <c r="G11" s="73"/>
      <c r="I11" s="74"/>
    </row>
    <row r="12" spans="2:7" ht="15.75">
      <c r="B12" s="75" t="s">
        <v>8</v>
      </c>
      <c r="C12" s="76" t="s">
        <v>10</v>
      </c>
      <c r="D12" s="77">
        <f>'[1]оборотка'!L69</f>
        <v>14467050</v>
      </c>
      <c r="E12" s="78">
        <f>'[1]оборотка'!J69</f>
        <v>12125511</v>
      </c>
      <c r="F12" s="29"/>
      <c r="G12" s="21"/>
    </row>
    <row r="13" spans="2:7" ht="15.75">
      <c r="B13" s="75" t="s">
        <v>9</v>
      </c>
      <c r="C13" s="76" t="s">
        <v>12</v>
      </c>
      <c r="D13" s="77">
        <f>'[1]оборотка'!L80+'[1]оборотка'!L84</f>
        <v>2338014</v>
      </c>
      <c r="E13" s="78">
        <f>'[1]оборотка'!J80+'[1]оборотка'!J84</f>
        <v>2493436</v>
      </c>
      <c r="F13" s="29"/>
      <c r="G13" s="21"/>
    </row>
    <row r="14" spans="2:9" ht="15.75">
      <c r="B14" s="75" t="s">
        <v>11</v>
      </c>
      <c r="C14" s="76" t="s">
        <v>14</v>
      </c>
      <c r="D14" s="79">
        <f>'[1]оборотка'!L64+'[1]оборотка'!L66</f>
        <v>84016</v>
      </c>
      <c r="E14" s="78">
        <f>'[1]оборотка'!J63+'[1]оборотка'!J66+1</f>
        <v>73076</v>
      </c>
      <c r="F14" s="29"/>
      <c r="G14" s="21"/>
      <c r="I14" s="80"/>
    </row>
    <row r="15" spans="2:7" ht="15.75">
      <c r="B15" s="75" t="s">
        <v>13</v>
      </c>
      <c r="C15" s="76" t="s">
        <v>16</v>
      </c>
      <c r="D15" s="79">
        <f>'[1]оборотка'!L68+'[1]оборотка'!L90+'[1]инвестиции'!W60</f>
        <v>464965</v>
      </c>
      <c r="E15" s="78">
        <f>'[1]оборотка'!J68+'[1]оборотка'!J90</f>
        <v>141019</v>
      </c>
      <c r="F15" s="29"/>
      <c r="G15" s="21"/>
    </row>
    <row r="16" spans="2:7" ht="15.75">
      <c r="B16" s="75" t="s">
        <v>15</v>
      </c>
      <c r="C16" s="76" t="s">
        <v>19</v>
      </c>
      <c r="D16" s="77">
        <f>'[1]оборотка'!L91</f>
        <v>2031539</v>
      </c>
      <c r="E16" s="78">
        <f>'[1]оборотка'!J91</f>
        <v>1344187</v>
      </c>
      <c r="F16" s="29"/>
      <c r="G16" s="21"/>
    </row>
    <row r="17" spans="2:7" ht="15.75">
      <c r="B17" s="81"/>
      <c r="C17" s="82"/>
      <c r="D17" s="83">
        <f>SUM(D12:D16)</f>
        <v>19385584</v>
      </c>
      <c r="E17" s="84">
        <f>SUM(E12:E16)</f>
        <v>16177229</v>
      </c>
      <c r="F17" s="34"/>
      <c r="G17" s="35"/>
    </row>
    <row r="18" spans="2:7" ht="15.75">
      <c r="B18" s="69" t="s">
        <v>17</v>
      </c>
      <c r="C18" s="76"/>
      <c r="D18" s="77"/>
      <c r="E18" s="78"/>
      <c r="F18" s="29"/>
      <c r="G18" s="21"/>
    </row>
    <row r="19" spans="2:7" ht="15.75">
      <c r="B19" s="75" t="s">
        <v>18</v>
      </c>
      <c r="C19" s="76" t="s">
        <v>21</v>
      </c>
      <c r="D19" s="77">
        <f>'[1]оборотка'!L36</f>
        <v>746704</v>
      </c>
      <c r="E19" s="78">
        <f>'[1]оборотка'!J36</f>
        <v>744382</v>
      </c>
      <c r="F19" s="29"/>
      <c r="G19" s="21"/>
    </row>
    <row r="20" spans="2:7" ht="15.75">
      <c r="B20" s="75" t="s">
        <v>20</v>
      </c>
      <c r="C20" s="76" t="s">
        <v>24</v>
      </c>
      <c r="D20" s="77">
        <f>'[1]оборотка'!L26</f>
        <v>8616123</v>
      </c>
      <c r="E20" s="78">
        <f>'[1]оборотка'!J26</f>
        <v>4273571</v>
      </c>
      <c r="F20" s="29"/>
      <c r="G20" s="21"/>
    </row>
    <row r="21" spans="2:7" ht="15.75">
      <c r="B21" s="75" t="s">
        <v>22</v>
      </c>
      <c r="C21" s="76"/>
      <c r="D21" s="77"/>
      <c r="E21" s="78"/>
      <c r="F21" s="29"/>
      <c r="G21" s="21"/>
    </row>
    <row r="22" spans="2:7" ht="15.75">
      <c r="B22" s="75" t="s">
        <v>23</v>
      </c>
      <c r="C22" s="76" t="s">
        <v>26</v>
      </c>
      <c r="D22" s="77">
        <f>'[1]оборотка'!L47+'[1]оборотка'!L51-'[1]инвестиции'!W60-1</f>
        <v>1137937</v>
      </c>
      <c r="E22" s="78">
        <f>'[1]оборотка'!J47+'[1]оборотка'!J51</f>
        <v>896353</v>
      </c>
      <c r="F22" s="29"/>
      <c r="G22" s="21"/>
    </row>
    <row r="23" spans="2:7" ht="15.75">
      <c r="B23" s="75" t="s">
        <v>25</v>
      </c>
      <c r="C23" s="76" t="s">
        <v>31</v>
      </c>
      <c r="D23" s="77">
        <f>'[1]оборотка'!L14</f>
        <v>4107305</v>
      </c>
      <c r="E23" s="78">
        <f>'[1]оборотка'!J14</f>
        <v>1471078</v>
      </c>
      <c r="F23" s="29"/>
      <c r="G23" s="21"/>
    </row>
    <row r="24" spans="2:7" ht="15.75">
      <c r="B24" s="75"/>
      <c r="C24" s="76"/>
      <c r="D24" s="85">
        <f>SUM(D19:D23)</f>
        <v>14608069</v>
      </c>
      <c r="E24" s="84">
        <f>SUM(E19:E23)</f>
        <v>7385384</v>
      </c>
      <c r="F24" s="34"/>
      <c r="G24" s="35"/>
    </row>
    <row r="25" spans="2:10" s="4" customFormat="1" ht="15.75">
      <c r="B25" s="69" t="s">
        <v>27</v>
      </c>
      <c r="C25" s="70"/>
      <c r="D25" s="85">
        <f>D24+D17</f>
        <v>33993653</v>
      </c>
      <c r="E25" s="84">
        <f>E24+E17</f>
        <v>23562613</v>
      </c>
      <c r="F25" s="34"/>
      <c r="G25" s="35"/>
      <c r="I25" s="86"/>
      <c r="J25" s="87"/>
    </row>
    <row r="26" spans="2:10" ht="15.75">
      <c r="B26" s="69" t="s">
        <v>28</v>
      </c>
      <c r="C26" s="76"/>
      <c r="D26" s="77"/>
      <c r="E26" s="78"/>
      <c r="F26" s="29"/>
      <c r="G26" s="21"/>
      <c r="J26" s="31"/>
    </row>
    <row r="27" spans="2:10" ht="15.75">
      <c r="B27" s="69" t="s">
        <v>29</v>
      </c>
      <c r="C27" s="76"/>
      <c r="D27" s="77"/>
      <c r="E27" s="78"/>
      <c r="F27" s="29"/>
      <c r="G27" s="21"/>
      <c r="J27" s="31"/>
    </row>
    <row r="28" spans="2:7" ht="15.75">
      <c r="B28" s="75" t="s">
        <v>30</v>
      </c>
      <c r="C28" s="76" t="s">
        <v>36</v>
      </c>
      <c r="D28" s="77">
        <f>'[1]оборотка'!M128</f>
        <v>100000</v>
      </c>
      <c r="E28" s="78">
        <f>'[1]оборотка'!K128</f>
        <v>100000</v>
      </c>
      <c r="F28" s="29"/>
      <c r="G28" s="21"/>
    </row>
    <row r="29" spans="2:7" ht="15.75">
      <c r="B29" s="75" t="s">
        <v>32</v>
      </c>
      <c r="C29" s="76"/>
      <c r="D29" s="77">
        <f>'[1]оборотка'!M131</f>
        <v>19231392</v>
      </c>
      <c r="E29" s="78">
        <f>'[1]оборотка'!K131-1</f>
        <v>9705685</v>
      </c>
      <c r="F29" s="29"/>
      <c r="G29" s="21"/>
    </row>
    <row r="30" spans="2:9" ht="15.75">
      <c r="B30" s="69" t="s">
        <v>33</v>
      </c>
      <c r="C30" s="76"/>
      <c r="D30" s="88">
        <f>SUM(D27:D29)</f>
        <v>19331392</v>
      </c>
      <c r="E30" s="84">
        <f>SUM(E27:E29)</f>
        <v>9805685</v>
      </c>
      <c r="F30" s="34"/>
      <c r="G30" s="35"/>
      <c r="H30" s="31"/>
      <c r="I30" s="17"/>
    </row>
    <row r="31" spans="2:9" ht="15.75">
      <c r="B31" s="69" t="s">
        <v>34</v>
      </c>
      <c r="C31" s="76"/>
      <c r="D31" s="77"/>
      <c r="E31" s="78"/>
      <c r="F31" s="29"/>
      <c r="G31" s="21"/>
      <c r="I31" s="17"/>
    </row>
    <row r="32" spans="2:7" ht="15.75">
      <c r="B32" s="75" t="s">
        <v>35</v>
      </c>
      <c r="C32" s="76"/>
      <c r="D32" s="77">
        <v>0</v>
      </c>
      <c r="E32" s="78" t="s">
        <v>37</v>
      </c>
      <c r="F32" s="29"/>
      <c r="G32" s="21"/>
    </row>
    <row r="33" spans="2:7" ht="15.75">
      <c r="B33" s="75" t="s">
        <v>38</v>
      </c>
      <c r="C33" s="76" t="s">
        <v>39</v>
      </c>
      <c r="D33" s="79">
        <f>'[1]оборотка'!M126</f>
        <v>735662</v>
      </c>
      <c r="E33" s="78">
        <f>'[1]оборотка'!K126</f>
        <v>699868</v>
      </c>
      <c r="F33" s="29"/>
      <c r="G33" s="21"/>
    </row>
    <row r="34" spans="2:10" s="8" customFormat="1" ht="15.75">
      <c r="B34" s="75" t="s">
        <v>40</v>
      </c>
      <c r="C34" s="76"/>
      <c r="D34" s="79">
        <f>'[1]оборотка'!M125</f>
        <v>1049581</v>
      </c>
      <c r="E34" s="78">
        <f>'[1]оборотка'!K125</f>
        <v>1184561</v>
      </c>
      <c r="F34" s="29"/>
      <c r="G34" s="21"/>
      <c r="H34" s="5"/>
      <c r="J34" s="5"/>
    </row>
    <row r="35" spans="2:10" s="8" customFormat="1" ht="15.75">
      <c r="B35" s="75"/>
      <c r="C35" s="76"/>
      <c r="D35" s="89">
        <f>SUM(D31:D34)</f>
        <v>1785243</v>
      </c>
      <c r="E35" s="84">
        <f>SUM(E31:E34)</f>
        <v>1884429</v>
      </c>
      <c r="F35" s="34"/>
      <c r="G35" s="35"/>
      <c r="H35" s="5"/>
      <c r="J35" s="5"/>
    </row>
    <row r="36" spans="2:10" s="8" customFormat="1" ht="15.75">
      <c r="B36" s="69" t="s">
        <v>42</v>
      </c>
      <c r="C36" s="76"/>
      <c r="D36" s="79"/>
      <c r="E36" s="78"/>
      <c r="F36" s="29"/>
      <c r="G36" s="21"/>
      <c r="H36" s="5"/>
      <c r="J36" s="5"/>
    </row>
    <row r="37" spans="2:10" s="8" customFormat="1" ht="15.75">
      <c r="B37" s="75" t="s">
        <v>35</v>
      </c>
      <c r="C37" s="76"/>
      <c r="D37" s="79">
        <v>0</v>
      </c>
      <c r="E37" s="78" t="s">
        <v>37</v>
      </c>
      <c r="F37" s="29"/>
      <c r="G37" s="21"/>
      <c r="H37" s="5"/>
      <c r="J37" s="5"/>
    </row>
    <row r="38" spans="2:10" s="8" customFormat="1" ht="15.75">
      <c r="B38" s="75" t="s">
        <v>43</v>
      </c>
      <c r="C38" s="76" t="s">
        <v>44</v>
      </c>
      <c r="D38" s="79">
        <f>'[1]оборотка'!M109-'[1]оборотка'!M113-'[1]оборотка'!P200</f>
        <v>482996</v>
      </c>
      <c r="E38" s="78">
        <f>'[1]оборотка'!K109-'[1]оборотка'!K113-E43</f>
        <v>1022073</v>
      </c>
      <c r="F38" s="29"/>
      <c r="G38" s="21"/>
      <c r="H38" s="30"/>
      <c r="J38" s="5"/>
    </row>
    <row r="39" spans="2:10" s="8" customFormat="1" ht="15.75">
      <c r="B39" s="75" t="s">
        <v>45</v>
      </c>
      <c r="C39" s="76" t="s">
        <v>46</v>
      </c>
      <c r="D39" s="79">
        <f>'[1]оборотка'!M96-ОФП!D40-ОФП!D41</f>
        <v>6329798</v>
      </c>
      <c r="E39" s="78">
        <f>'[1]оборотка'!K96-ОФП!E40-ОФП!E41+1</f>
        <v>2710768</v>
      </c>
      <c r="F39" s="29"/>
      <c r="G39" s="21"/>
      <c r="H39" s="5"/>
      <c r="J39" s="5"/>
    </row>
    <row r="40" spans="2:10" s="8" customFormat="1" ht="15.75">
      <c r="B40" s="75" t="s">
        <v>47</v>
      </c>
      <c r="C40" s="76"/>
      <c r="D40" s="79">
        <f>'[1]оборотка'!L203</f>
        <v>1900588</v>
      </c>
      <c r="E40" s="78">
        <f>'[1]оборотка'!L202</f>
        <v>874149</v>
      </c>
      <c r="F40" s="29"/>
      <c r="G40" s="21"/>
      <c r="H40" s="5"/>
      <c r="J40" s="5"/>
    </row>
    <row r="41" spans="2:10" s="8" customFormat="1" ht="15.75">
      <c r="B41" s="75" t="s">
        <v>48</v>
      </c>
      <c r="C41" s="76"/>
      <c r="D41" s="79">
        <f>'[1]оборотка'!L216</f>
        <v>3966878</v>
      </c>
      <c r="E41" s="78">
        <f>'[1]оборотка'!L214</f>
        <v>4026783</v>
      </c>
      <c r="F41" s="29"/>
      <c r="G41" s="21"/>
      <c r="H41" s="5"/>
      <c r="J41" s="5"/>
    </row>
    <row r="42" spans="2:10" s="8" customFormat="1" ht="15.75">
      <c r="B42" s="75" t="s">
        <v>49</v>
      </c>
      <c r="C42" s="76" t="s">
        <v>50</v>
      </c>
      <c r="D42" s="79">
        <f>'[1]оборотка'!M94+'[1]оборотка'!M113+'[1]оборотка'!M119+'[1]оборотка'!M121+'[1]оборотка'!M105-1</f>
        <v>145926</v>
      </c>
      <c r="E42" s="78">
        <f>'[1]оборотка'!K95+'[1]оборотка'!K105+'[1]оборотка'!K113+'[1]оборотка'!K119+'[1]оборотка'!K121</f>
        <v>3181460</v>
      </c>
      <c r="F42" s="29"/>
      <c r="G42" s="21"/>
      <c r="H42" s="30"/>
      <c r="J42" s="5"/>
    </row>
    <row r="43" spans="2:10" s="8" customFormat="1" ht="15.75">
      <c r="B43" s="75" t="s">
        <v>38</v>
      </c>
      <c r="C43" s="76" t="s">
        <v>39</v>
      </c>
      <c r="D43" s="90">
        <f>'[1]оборотка'!P200</f>
        <v>50832</v>
      </c>
      <c r="E43" s="78">
        <f>'[1]оборотка'!R192</f>
        <v>57266</v>
      </c>
      <c r="F43" s="29"/>
      <c r="G43" s="21"/>
      <c r="H43" s="5"/>
      <c r="J43" s="5"/>
    </row>
    <row r="44" spans="2:10" s="8" customFormat="1" ht="15.75">
      <c r="B44" s="75"/>
      <c r="C44" s="76"/>
      <c r="D44" s="85">
        <f>SUM(D37:D43)</f>
        <v>12877018</v>
      </c>
      <c r="E44" s="84">
        <f>SUM(E37:E43)</f>
        <v>11872499</v>
      </c>
      <c r="F44" s="34"/>
      <c r="G44" s="35"/>
      <c r="H44" s="5"/>
      <c r="J44" s="5"/>
    </row>
    <row r="45" spans="2:10" s="8" customFormat="1" ht="15.75">
      <c r="B45" s="69" t="s">
        <v>51</v>
      </c>
      <c r="C45" s="76"/>
      <c r="D45" s="83">
        <f>D30+D35+D44</f>
        <v>33993653</v>
      </c>
      <c r="E45" s="84">
        <f>E30+E35+E44</f>
        <v>23562613</v>
      </c>
      <c r="F45" s="34"/>
      <c r="G45" s="35"/>
      <c r="H45" s="31">
        <f>D45-D25</f>
        <v>0</v>
      </c>
      <c r="J45" s="5"/>
    </row>
    <row r="46" spans="2:10" s="8" customFormat="1" ht="15.75">
      <c r="B46" s="71" t="s">
        <v>52</v>
      </c>
      <c r="C46" s="69"/>
      <c r="D46" s="83">
        <f>((D30-D13)/10000)*1000</f>
        <v>1699337.8</v>
      </c>
      <c r="E46" s="83">
        <f>((E30-E13)/10000)*1000</f>
        <v>731224.9</v>
      </c>
      <c r="F46" s="91"/>
      <c r="G46" s="92"/>
      <c r="H46" s="5"/>
      <c r="J46" s="5"/>
    </row>
    <row r="47" spans="2:10" s="8" customFormat="1" ht="15.75">
      <c r="B47" s="93"/>
      <c r="C47" s="93"/>
      <c r="D47" s="94"/>
      <c r="E47" s="94"/>
      <c r="F47" s="94"/>
      <c r="G47" s="95"/>
      <c r="H47" s="5"/>
      <c r="J47" s="5"/>
    </row>
    <row r="48" spans="2:10" s="8" customFormat="1" ht="15.75">
      <c r="B48" s="93"/>
      <c r="C48" s="93"/>
      <c r="D48" s="96"/>
      <c r="E48" s="96"/>
      <c r="F48" s="96"/>
      <c r="G48" s="97"/>
      <c r="H48" s="5"/>
      <c r="J48" s="5"/>
    </row>
    <row r="49" spans="2:10" s="8" customFormat="1" ht="15.75">
      <c r="B49" s="5" t="s">
        <v>123</v>
      </c>
      <c r="C49" s="5"/>
      <c r="D49" s="65" t="s">
        <v>124</v>
      </c>
      <c r="E49" s="65"/>
      <c r="F49" s="96"/>
      <c r="G49" s="97"/>
      <c r="H49" s="5"/>
      <c r="J49" s="5"/>
    </row>
    <row r="51" spans="2:4" ht="15.75">
      <c r="B51" s="5" t="s">
        <v>125</v>
      </c>
      <c r="D51" s="6" t="s">
        <v>126</v>
      </c>
    </row>
  </sheetData>
  <sheetProtection/>
  <mergeCells count="6">
    <mergeCell ref="B8:B9"/>
    <mergeCell ref="C8:C9"/>
    <mergeCell ref="D8:D9"/>
    <mergeCell ref="E8:E9"/>
    <mergeCell ref="F8:F9"/>
    <mergeCell ref="G8:G9"/>
  </mergeCells>
  <printOptions/>
  <pageMargins left="0" right="0" top="0" bottom="0" header="0.31496062992125984" footer="0.31496062992125984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3:K33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9.125" style="5" customWidth="1"/>
    <col min="2" max="2" width="53.75390625" style="5" bestFit="1" customWidth="1"/>
    <col min="3" max="3" width="9.875" style="5" customWidth="1"/>
    <col min="4" max="4" width="19.625" style="6" customWidth="1"/>
    <col min="5" max="5" width="18.25390625" style="6" customWidth="1"/>
    <col min="6" max="6" width="12.375" style="6" customWidth="1"/>
    <col min="7" max="7" width="20.625" style="7" customWidth="1"/>
    <col min="8" max="8" width="19.875" style="5" customWidth="1"/>
    <col min="9" max="9" width="19.875" style="8" customWidth="1"/>
    <col min="10" max="10" width="20.125" style="5" customWidth="1"/>
    <col min="11" max="11" width="23.75390625" style="5" customWidth="1"/>
    <col min="12" max="16384" width="9.125" style="5" customWidth="1"/>
  </cols>
  <sheetData>
    <row r="3" ht="15.75">
      <c r="B3" s="4" t="s">
        <v>0</v>
      </c>
    </row>
    <row r="5" spans="2:11" s="8" customFormat="1" ht="15.75">
      <c r="B5" s="93"/>
      <c r="C5" s="93"/>
      <c r="D5" s="94"/>
      <c r="E5" s="94"/>
      <c r="F5" s="94"/>
      <c r="G5" s="95"/>
      <c r="H5" s="5"/>
      <c r="J5" s="5"/>
      <c r="K5" s="5"/>
    </row>
    <row r="6" spans="2:11" s="8" customFormat="1" ht="15.75">
      <c r="B6" s="93"/>
      <c r="C6" s="93"/>
      <c r="D6" s="96"/>
      <c r="E6" s="96"/>
      <c r="F6" s="96"/>
      <c r="G6" s="97"/>
      <c r="H6" s="5"/>
      <c r="J6" s="5"/>
      <c r="K6" s="5"/>
    </row>
    <row r="7" spans="2:11" s="8" customFormat="1" ht="15.75">
      <c r="B7" s="5"/>
      <c r="C7" s="5"/>
      <c r="D7" s="65"/>
      <c r="E7" s="65"/>
      <c r="F7" s="96"/>
      <c r="G7" s="97"/>
      <c r="H7" s="5"/>
      <c r="J7" s="5"/>
      <c r="K7" s="5"/>
    </row>
    <row r="8" spans="2:7" ht="15.75">
      <c r="B8" s="9" t="s">
        <v>53</v>
      </c>
      <c r="D8" s="98"/>
      <c r="F8" s="94"/>
      <c r="G8" s="95"/>
    </row>
    <row r="9" spans="2:7" ht="15.75">
      <c r="B9" s="9" t="s">
        <v>127</v>
      </c>
      <c r="D9" s="98"/>
      <c r="F9" s="94"/>
      <c r="G9" s="95"/>
    </row>
    <row r="10" spans="2:7" ht="15.75">
      <c r="B10" s="5" t="s">
        <v>78</v>
      </c>
      <c r="F10" s="94"/>
      <c r="G10" s="95"/>
    </row>
    <row r="11" spans="2:7" ht="15.75">
      <c r="B11" s="103"/>
      <c r="C11" s="104" t="s">
        <v>3</v>
      </c>
      <c r="D11" s="108" t="s">
        <v>54</v>
      </c>
      <c r="E11" s="106" t="s">
        <v>55</v>
      </c>
      <c r="F11" s="107"/>
      <c r="G11" s="107"/>
    </row>
    <row r="12" spans="2:7" ht="15.75">
      <c r="B12" s="103"/>
      <c r="C12" s="105"/>
      <c r="D12" s="109"/>
      <c r="E12" s="106"/>
      <c r="F12" s="107"/>
      <c r="G12" s="107"/>
    </row>
    <row r="13" spans="2:7" ht="15.75">
      <c r="B13" s="75" t="s">
        <v>56</v>
      </c>
      <c r="C13" s="76" t="s">
        <v>57</v>
      </c>
      <c r="D13" s="99">
        <f>'[1]ф2 '!H22</f>
        <v>51459304</v>
      </c>
      <c r="E13" s="100">
        <f>'[1]ф2 '!I22</f>
        <v>38855483</v>
      </c>
      <c r="F13" s="110"/>
      <c r="G13" s="110"/>
    </row>
    <row r="14" spans="2:7" ht="15.75">
      <c r="B14" s="75" t="s">
        <v>58</v>
      </c>
      <c r="C14" s="76" t="s">
        <v>59</v>
      </c>
      <c r="D14" s="99">
        <f>'[1]ф2 '!H23</f>
        <v>6622655</v>
      </c>
      <c r="E14" s="100">
        <f>'[1]ф2 '!I23</f>
        <v>4426495</v>
      </c>
      <c r="F14" s="110"/>
      <c r="G14" s="110"/>
    </row>
    <row r="15" spans="2:7" ht="15.75">
      <c r="B15" s="69" t="s">
        <v>60</v>
      </c>
      <c r="C15" s="70"/>
      <c r="D15" s="83">
        <f>D13-D14</f>
        <v>44836649</v>
      </c>
      <c r="E15" s="101">
        <f>E13-E14</f>
        <v>34428988</v>
      </c>
      <c r="F15" s="110"/>
      <c r="G15" s="110"/>
    </row>
    <row r="16" spans="2:7" ht="15.75">
      <c r="B16" s="75" t="s">
        <v>61</v>
      </c>
      <c r="C16" s="76" t="s">
        <v>62</v>
      </c>
      <c r="D16" s="99">
        <f>'[1]ф2 '!H25</f>
        <v>17903698</v>
      </c>
      <c r="E16" s="100">
        <f>'[1]ф2 '!I25</f>
        <v>12335601</v>
      </c>
      <c r="F16" s="110"/>
      <c r="G16" s="110"/>
    </row>
    <row r="17" spans="2:7" ht="15.75">
      <c r="B17" s="75" t="s">
        <v>63</v>
      </c>
      <c r="C17" s="76" t="s">
        <v>64</v>
      </c>
      <c r="D17" s="99">
        <f>'[1]ф2 '!H26</f>
        <v>1084543</v>
      </c>
      <c r="E17" s="100">
        <f>'[1]ф2 '!I26</f>
        <v>1082008</v>
      </c>
      <c r="F17" s="110"/>
      <c r="G17" s="110"/>
    </row>
    <row r="18" spans="2:10" ht="15.75">
      <c r="B18" s="75" t="s">
        <v>65</v>
      </c>
      <c r="C18" s="76" t="s">
        <v>66</v>
      </c>
      <c r="D18" s="99">
        <f>'[1]ф2 '!H30</f>
        <v>39331</v>
      </c>
      <c r="E18" s="100">
        <f>'[1]ф2 '!I30</f>
        <v>9641</v>
      </c>
      <c r="F18" s="110"/>
      <c r="G18" s="110"/>
      <c r="J18" s="8"/>
    </row>
    <row r="19" spans="2:10" ht="15.75">
      <c r="B19" s="75" t="s">
        <v>67</v>
      </c>
      <c r="C19" s="76" t="s">
        <v>68</v>
      </c>
      <c r="D19" s="99">
        <f>'[1]ф2 '!H31</f>
        <v>44348</v>
      </c>
      <c r="E19" s="100">
        <f>'[1]ф2 '!I31</f>
        <v>239440</v>
      </c>
      <c r="F19" s="110"/>
      <c r="G19" s="110"/>
      <c r="J19" s="8"/>
    </row>
    <row r="20" spans="2:10" ht="15.75">
      <c r="B20" s="75" t="s">
        <v>69</v>
      </c>
      <c r="C20" s="76"/>
      <c r="D20" s="99">
        <f>'[1]ф2 '!I113</f>
        <v>96355</v>
      </c>
      <c r="E20" s="100">
        <f>'[1]ф2 '!Q113+1</f>
        <v>27126</v>
      </c>
      <c r="F20" s="110"/>
      <c r="G20" s="110"/>
      <c r="J20" s="8"/>
    </row>
    <row r="21" spans="2:10" ht="45" customHeight="1">
      <c r="B21" s="75" t="s">
        <v>70</v>
      </c>
      <c r="C21" s="76" t="s">
        <v>71</v>
      </c>
      <c r="D21" s="99">
        <f>'[1]ф2 '!H28-'[1]ф2 '!H27-D20</f>
        <v>-53067</v>
      </c>
      <c r="E21" s="100">
        <f>'[1]ф2 '!I28-'[1]ф2 '!I27-ОСД!E20</f>
        <v>-123177</v>
      </c>
      <c r="F21" s="111"/>
      <c r="G21" s="111"/>
      <c r="H21" s="31"/>
      <c r="J21" s="8"/>
    </row>
    <row r="22" spans="2:10" ht="15.75">
      <c r="B22" s="69" t="s">
        <v>72</v>
      </c>
      <c r="C22" s="70"/>
      <c r="D22" s="83">
        <f>D15-D16-D17+D18-D19+D20+D21</f>
        <v>25886679</v>
      </c>
      <c r="E22" s="101">
        <f>E15-E16-E17+E18-E19+E20+E21</f>
        <v>20685529</v>
      </c>
      <c r="F22" s="110"/>
      <c r="G22" s="110"/>
      <c r="J22" s="8"/>
    </row>
    <row r="23" spans="2:10" ht="15.75">
      <c r="B23" s="75" t="s">
        <v>73</v>
      </c>
      <c r="C23" s="76" t="s">
        <v>41</v>
      </c>
      <c r="D23" s="99">
        <f>'[1]ф2 '!H36</f>
        <v>9318582</v>
      </c>
      <c r="E23" s="100">
        <f>'[1]ф2 '!I36</f>
        <v>6804305</v>
      </c>
      <c r="F23" s="110"/>
      <c r="G23" s="110"/>
      <c r="J23" s="8"/>
    </row>
    <row r="24" spans="2:10" ht="15.75">
      <c r="B24" s="71" t="s">
        <v>74</v>
      </c>
      <c r="C24" s="70"/>
      <c r="D24" s="83">
        <f>D22-D23</f>
        <v>16568097</v>
      </c>
      <c r="E24" s="101">
        <f>E22-E23</f>
        <v>13881224</v>
      </c>
      <c r="F24" s="110"/>
      <c r="G24" s="110"/>
      <c r="J24" s="8"/>
    </row>
    <row r="25" spans="2:10" ht="15.75">
      <c r="B25" s="69" t="s">
        <v>75</v>
      </c>
      <c r="C25" s="70"/>
      <c r="D25" s="83">
        <f>D24</f>
        <v>16568097</v>
      </c>
      <c r="E25" s="101">
        <f>E24</f>
        <v>13881224</v>
      </c>
      <c r="F25" s="110"/>
      <c r="G25" s="110"/>
      <c r="J25" s="8"/>
    </row>
    <row r="26" spans="2:8" ht="15.75">
      <c r="B26" s="69" t="s">
        <v>76</v>
      </c>
      <c r="C26" s="76" t="s">
        <v>36</v>
      </c>
      <c r="D26" s="83">
        <f>ROUND(D25/10000,0)</f>
        <v>1657</v>
      </c>
      <c r="E26" s="83">
        <f>ROUND(E25/10000,0)</f>
        <v>1388</v>
      </c>
      <c r="F26" s="110"/>
      <c r="G26" s="110"/>
      <c r="H26" s="31"/>
    </row>
    <row r="27" spans="2:7" ht="15.75">
      <c r="B27" s="75"/>
      <c r="C27" s="76"/>
      <c r="D27" s="102"/>
      <c r="E27" s="102"/>
      <c r="F27" s="110"/>
      <c r="G27" s="110"/>
    </row>
    <row r="31" spans="2:4" ht="15.75">
      <c r="B31" s="5" t="s">
        <v>123</v>
      </c>
      <c r="D31" s="65" t="s">
        <v>124</v>
      </c>
    </row>
    <row r="33" spans="2:4" ht="15.75">
      <c r="B33" s="5" t="s">
        <v>125</v>
      </c>
      <c r="D33" s="6" t="s">
        <v>126</v>
      </c>
    </row>
  </sheetData>
  <sheetProtection/>
  <mergeCells count="20">
    <mergeCell ref="F26:G26"/>
    <mergeCell ref="F27:G27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B11:B12"/>
    <mergeCell ref="C11:C12"/>
    <mergeCell ref="D11:D12"/>
    <mergeCell ref="E11:E12"/>
    <mergeCell ref="F11:G12"/>
    <mergeCell ref="F13:G13"/>
  </mergeCells>
  <printOptions/>
  <pageMargins left="0" right="0" top="0" bottom="0" header="0.31496062992125984" footer="0.31496062992125984"/>
  <pageSetup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3:K52"/>
  <sheetViews>
    <sheetView zoomScalePageLayoutView="0" workbookViewId="0" topLeftCell="A1">
      <selection activeCell="C47" sqref="C47"/>
    </sheetView>
  </sheetViews>
  <sheetFormatPr defaultColWidth="9.00390625" defaultRowHeight="12.75"/>
  <cols>
    <col min="1" max="1" width="9.125" style="5" customWidth="1"/>
    <col min="2" max="2" width="53.75390625" style="5" bestFit="1" customWidth="1"/>
    <col min="3" max="3" width="9.875" style="5" customWidth="1"/>
    <col min="4" max="4" width="20.00390625" style="6" customWidth="1"/>
    <col min="5" max="5" width="18.25390625" style="6" customWidth="1"/>
    <col min="6" max="6" width="12.375" style="6" customWidth="1"/>
    <col min="7" max="7" width="20.625" style="7" customWidth="1"/>
    <col min="8" max="8" width="19.875" style="5" customWidth="1"/>
    <col min="9" max="9" width="19.875" style="8" customWidth="1"/>
    <col min="10" max="10" width="20.125" style="5" customWidth="1"/>
    <col min="11" max="11" width="23.75390625" style="5" customWidth="1"/>
    <col min="12" max="16384" width="9.125" style="5" customWidth="1"/>
  </cols>
  <sheetData>
    <row r="3" ht="15.75">
      <c r="B3" s="4" t="s">
        <v>0</v>
      </c>
    </row>
    <row r="5" ht="15.75">
      <c r="B5" s="9" t="s">
        <v>77</v>
      </c>
    </row>
    <row r="6" ht="15.75">
      <c r="B6" s="9" t="s">
        <v>127</v>
      </c>
    </row>
    <row r="7" ht="15.75">
      <c r="B7" s="5" t="s">
        <v>78</v>
      </c>
    </row>
    <row r="8" spans="2:7" ht="15.75">
      <c r="B8" s="112"/>
      <c r="C8" s="104" t="s">
        <v>3</v>
      </c>
      <c r="D8" s="114" t="s">
        <v>54</v>
      </c>
      <c r="E8" s="116" t="s">
        <v>55</v>
      </c>
      <c r="F8" s="10"/>
      <c r="G8" s="10"/>
    </row>
    <row r="9" spans="2:7" ht="15.75">
      <c r="B9" s="113"/>
      <c r="C9" s="105"/>
      <c r="D9" s="115"/>
      <c r="E9" s="117"/>
      <c r="F9" s="10"/>
      <c r="G9" s="10"/>
    </row>
    <row r="10" spans="2:7" ht="15.75">
      <c r="B10" s="11" t="s">
        <v>79</v>
      </c>
      <c r="C10" s="12"/>
      <c r="D10" s="13"/>
      <c r="E10" s="14"/>
      <c r="F10" s="14"/>
      <c r="G10" s="14"/>
    </row>
    <row r="11" spans="2:7" ht="15.75">
      <c r="B11" s="15" t="s">
        <v>80</v>
      </c>
      <c r="C11" s="12"/>
      <c r="D11" s="14"/>
      <c r="E11" s="14"/>
      <c r="F11" s="14"/>
      <c r="G11" s="14"/>
    </row>
    <row r="12" spans="2:7" ht="15.75">
      <c r="B12" s="15" t="s">
        <v>81</v>
      </c>
      <c r="C12" s="12"/>
      <c r="D12" s="16">
        <f>'[1]ф3 '!G26</f>
        <v>47729959</v>
      </c>
      <c r="E12" s="16">
        <f>'[1]ф3 '!H26</f>
        <v>23986841</v>
      </c>
      <c r="F12" s="16"/>
      <c r="G12" s="16"/>
    </row>
    <row r="13" spans="2:9" ht="15.75">
      <c r="B13" s="15" t="s">
        <v>82</v>
      </c>
      <c r="C13" s="12"/>
      <c r="D13" s="16">
        <f>'[1]ф3 '!G30</f>
        <v>29840</v>
      </c>
      <c r="E13" s="16">
        <f>'[1]ф3 '!H30</f>
        <v>6850</v>
      </c>
      <c r="F13" s="16"/>
      <c r="G13" s="16"/>
      <c r="I13" s="17"/>
    </row>
    <row r="14" spans="2:7" ht="15.75">
      <c r="B14" s="15" t="s">
        <v>83</v>
      </c>
      <c r="C14" s="12"/>
      <c r="D14" s="16">
        <v>0</v>
      </c>
      <c r="E14" s="16">
        <f>'[1]ф3 '!H28</f>
        <v>7190938</v>
      </c>
      <c r="F14" s="16"/>
      <c r="G14" s="16"/>
    </row>
    <row r="15" spans="2:9" ht="16.5" thickBot="1">
      <c r="B15" s="18" t="s">
        <v>84</v>
      </c>
      <c r="C15" s="19"/>
      <c r="D15" s="20">
        <f>'[1]ф3 '!G31</f>
        <v>46581</v>
      </c>
      <c r="E15" s="20">
        <f>'[1]ф3 '!H31</f>
        <v>85913</v>
      </c>
      <c r="F15" s="21"/>
      <c r="G15" s="21"/>
      <c r="I15" s="17"/>
    </row>
    <row r="16" spans="2:7" ht="16.5" thickBot="1">
      <c r="B16" s="18" t="s">
        <v>85</v>
      </c>
      <c r="C16" s="19"/>
      <c r="D16" s="22">
        <f>SUM(D12:D15)</f>
        <v>47806380</v>
      </c>
      <c r="E16" s="22">
        <f>SUM(E12:E15)</f>
        <v>31270542</v>
      </c>
      <c r="F16" s="23"/>
      <c r="G16" s="23"/>
    </row>
    <row r="17" spans="2:9" ht="15.75">
      <c r="B17" s="15" t="s">
        <v>86</v>
      </c>
      <c r="C17" s="12"/>
      <c r="D17" s="14"/>
      <c r="E17" s="24"/>
      <c r="F17" s="24"/>
      <c r="G17" s="24"/>
      <c r="I17" s="17"/>
    </row>
    <row r="18" spans="2:9" ht="15.75">
      <c r="B18" s="15" t="s">
        <v>87</v>
      </c>
      <c r="C18" s="12"/>
      <c r="D18" s="25">
        <f>-'[1]ф3 '!G34</f>
        <v>-7473697</v>
      </c>
      <c r="E18" s="25">
        <f>-'[1]ф3 '!H34</f>
        <v>-3819055</v>
      </c>
      <c r="F18" s="25"/>
      <c r="G18" s="16"/>
      <c r="I18" s="17"/>
    </row>
    <row r="19" spans="2:9" ht="15.75">
      <c r="B19" s="15" t="s">
        <v>88</v>
      </c>
      <c r="C19" s="12"/>
      <c r="D19" s="25">
        <f>-'[1]ф3 '!G35</f>
        <v>-1110408</v>
      </c>
      <c r="E19" s="25">
        <f>-'[1]ф3 '!H35</f>
        <v>-784143</v>
      </c>
      <c r="F19" s="25"/>
      <c r="G19" s="16"/>
      <c r="I19" s="17"/>
    </row>
    <row r="20" spans="2:9" ht="15.75">
      <c r="B20" s="15" t="s">
        <v>89</v>
      </c>
      <c r="C20" s="12"/>
      <c r="D20" s="25">
        <f>-'[1]ф3 '!G36</f>
        <v>-779656</v>
      </c>
      <c r="E20" s="25">
        <f>-'[1]ф3 '!H36</f>
        <v>-860699</v>
      </c>
      <c r="F20" s="25"/>
      <c r="G20" s="16"/>
      <c r="I20" s="17"/>
    </row>
    <row r="21" spans="2:9" ht="15.75">
      <c r="B21" s="15" t="s">
        <v>90</v>
      </c>
      <c r="C21" s="12"/>
      <c r="D21" s="25">
        <v>0</v>
      </c>
      <c r="E21" s="25" t="s">
        <v>37</v>
      </c>
      <c r="F21" s="25"/>
      <c r="G21" s="16"/>
      <c r="I21" s="17"/>
    </row>
    <row r="22" spans="2:9" ht="15.75">
      <c r="B22" s="26" t="s">
        <v>91</v>
      </c>
      <c r="C22" s="27"/>
      <c r="D22" s="25">
        <f>-'[1]ф3 '!T111</f>
        <v>-4327817</v>
      </c>
      <c r="E22" s="25">
        <f>-'[1]ф3 '!AA111</f>
        <v>-1532522</v>
      </c>
      <c r="F22" s="25"/>
      <c r="G22" s="16"/>
      <c r="I22" s="17"/>
    </row>
    <row r="23" spans="2:9" ht="15.75">
      <c r="B23" s="26" t="s">
        <v>92</v>
      </c>
      <c r="C23" s="27"/>
      <c r="D23" s="25">
        <f>-('[1]ф3 '!G39+ДДС!D22)</f>
        <v>-16635535</v>
      </c>
      <c r="E23" s="25">
        <f>-'[1]ф3 '!H39-E22</f>
        <v>-8785288</v>
      </c>
      <c r="F23" s="25"/>
      <c r="G23" s="16"/>
      <c r="I23" s="17"/>
    </row>
    <row r="24" spans="2:11" ht="16.5" thickBot="1">
      <c r="B24" s="18" t="s">
        <v>93</v>
      </c>
      <c r="C24" s="19"/>
      <c r="D24" s="28">
        <f>-'[1]ф3 '!G40</f>
        <v>-249305</v>
      </c>
      <c r="E24" s="28">
        <f>-'[1]ф3 '!H40-'[1]ф3 '!H38</f>
        <v>-259685</v>
      </c>
      <c r="F24" s="29"/>
      <c r="G24" s="21"/>
      <c r="H24" s="30"/>
      <c r="I24" s="17"/>
      <c r="K24" s="31"/>
    </row>
    <row r="25" spans="2:10" ht="32.25" thickBot="1">
      <c r="B25" s="32" t="s">
        <v>94</v>
      </c>
      <c r="C25" s="19"/>
      <c r="D25" s="33">
        <f>D16+D18+D19+D20+D21+D22+D23+D24</f>
        <v>17229962</v>
      </c>
      <c r="E25" s="33">
        <f>SUM(E16:E24)</f>
        <v>15229150</v>
      </c>
      <c r="F25" s="34"/>
      <c r="G25" s="35"/>
      <c r="I25" s="17"/>
      <c r="J25" s="36"/>
    </row>
    <row r="26" spans="2:7" ht="15.75">
      <c r="B26" s="37" t="s">
        <v>95</v>
      </c>
      <c r="C26" s="11"/>
      <c r="D26" s="38"/>
      <c r="E26" s="38"/>
      <c r="F26" s="38"/>
      <c r="G26" s="38"/>
    </row>
    <row r="27" spans="2:7" ht="15.75">
      <c r="B27" s="15" t="s">
        <v>80</v>
      </c>
      <c r="C27" s="12"/>
      <c r="D27" s="24"/>
      <c r="E27" s="24"/>
      <c r="F27" s="24"/>
      <c r="G27" s="24"/>
    </row>
    <row r="28" spans="2:9" ht="15.75">
      <c r="B28" s="15" t="s">
        <v>96</v>
      </c>
      <c r="C28" s="12"/>
      <c r="D28" s="16">
        <f>'[1]ф3 '!G45</f>
        <v>4709</v>
      </c>
      <c r="E28" s="16">
        <f>'[1]ф3 '!H45</f>
        <v>100</v>
      </c>
      <c r="F28" s="16"/>
      <c r="G28" s="16"/>
      <c r="I28" s="17"/>
    </row>
    <row r="29" spans="2:9" ht="15.75">
      <c r="B29" s="15" t="s">
        <v>97</v>
      </c>
      <c r="C29" s="12"/>
      <c r="D29" s="24"/>
      <c r="E29" s="24"/>
      <c r="F29" s="24"/>
      <c r="G29" s="24"/>
      <c r="I29" s="17"/>
    </row>
    <row r="30" spans="2:11" ht="15.75">
      <c r="B30" s="15" t="s">
        <v>98</v>
      </c>
      <c r="C30" s="12"/>
      <c r="D30" s="25">
        <f>-'[1]ф3 '!G58</f>
        <v>-1220071</v>
      </c>
      <c r="E30" s="25">
        <f>-'[1]ф3 '!H58</f>
        <v>-1010443</v>
      </c>
      <c r="F30" s="25"/>
      <c r="G30" s="16"/>
      <c r="I30" s="17"/>
      <c r="K30" s="31"/>
    </row>
    <row r="31" spans="2:11" ht="15.75">
      <c r="B31" s="15" t="s">
        <v>99</v>
      </c>
      <c r="C31" s="12"/>
      <c r="D31" s="25">
        <f>-'[1]ф3 '!G60</f>
        <v>-3355129</v>
      </c>
      <c r="E31" s="25">
        <f>-'[1]ф3 '!H60</f>
        <v>-1832659</v>
      </c>
      <c r="F31" s="25"/>
      <c r="G31" s="16"/>
      <c r="I31" s="17"/>
      <c r="K31" s="31"/>
    </row>
    <row r="32" spans="2:9" ht="16.5" thickBot="1">
      <c r="B32" s="18" t="s">
        <v>100</v>
      </c>
      <c r="C32" s="19"/>
      <c r="D32" s="25"/>
      <c r="E32" s="25">
        <f>-'[1]ф3 '!H59</f>
        <v>-3400</v>
      </c>
      <c r="F32" s="25"/>
      <c r="G32" s="16"/>
      <c r="I32" s="17"/>
    </row>
    <row r="33" spans="2:9" ht="48" thickBot="1">
      <c r="B33" s="32" t="s">
        <v>101</v>
      </c>
      <c r="C33" s="19"/>
      <c r="D33" s="39">
        <f>D28+D30+D31+D32</f>
        <v>-4570491</v>
      </c>
      <c r="E33" s="39">
        <f>E28+E30+E31+E32</f>
        <v>-2846402</v>
      </c>
      <c r="F33" s="34"/>
      <c r="G33" s="35"/>
      <c r="I33" s="17"/>
    </row>
    <row r="34" spans="2:7" ht="15.75">
      <c r="B34" s="37" t="s">
        <v>103</v>
      </c>
      <c r="C34" s="40"/>
      <c r="D34" s="13"/>
      <c r="E34" s="41"/>
      <c r="F34" s="41"/>
      <c r="G34" s="41"/>
    </row>
    <row r="35" spans="2:9" ht="15.75">
      <c r="B35" s="26" t="s">
        <v>80</v>
      </c>
      <c r="C35" s="40"/>
      <c r="D35" s="13"/>
      <c r="E35" s="41"/>
      <c r="F35" s="41"/>
      <c r="G35" s="41"/>
      <c r="I35" s="17"/>
    </row>
    <row r="36" spans="2:9" ht="15.75">
      <c r="B36" s="26" t="s">
        <v>105</v>
      </c>
      <c r="C36" s="40"/>
      <c r="D36" s="41"/>
      <c r="E36" s="41"/>
      <c r="F36" s="41"/>
      <c r="G36" s="41"/>
      <c r="I36" s="17"/>
    </row>
    <row r="37" spans="2:9" ht="15.75">
      <c r="B37" s="15" t="s">
        <v>84</v>
      </c>
      <c r="C37" s="40"/>
      <c r="D37" s="25">
        <f>'[1]ф3 '!G76</f>
        <v>0</v>
      </c>
      <c r="E37" s="24">
        <f>'[1]ф3 '!H76</f>
        <v>757956</v>
      </c>
      <c r="F37" s="24"/>
      <c r="G37" s="24"/>
      <c r="I37" s="17"/>
    </row>
    <row r="38" spans="2:9" ht="15.75">
      <c r="B38" s="15" t="s">
        <v>97</v>
      </c>
      <c r="C38" s="12"/>
      <c r="D38" s="24"/>
      <c r="E38" s="24"/>
      <c r="F38" s="24"/>
      <c r="G38" s="24"/>
      <c r="I38" s="17"/>
    </row>
    <row r="39" spans="2:9" ht="15.75">
      <c r="B39" s="15" t="s">
        <v>106</v>
      </c>
      <c r="C39" s="12"/>
      <c r="D39" s="24">
        <f>-'[1]ф3 '!G81</f>
        <v>-10057191</v>
      </c>
      <c r="E39" s="24">
        <v>-9438904</v>
      </c>
      <c r="F39" s="24"/>
      <c r="G39" s="24"/>
      <c r="I39" s="17"/>
    </row>
    <row r="40" spans="2:9" ht="15.75">
      <c r="B40" s="15" t="s">
        <v>107</v>
      </c>
      <c r="C40" s="12"/>
      <c r="D40" s="25"/>
      <c r="E40" s="24"/>
      <c r="F40" s="24"/>
      <c r="G40" s="24"/>
      <c r="I40" s="17"/>
    </row>
    <row r="41" spans="2:9" ht="16.5" thickBot="1">
      <c r="B41" s="18" t="s">
        <v>108</v>
      </c>
      <c r="C41" s="19"/>
      <c r="D41" s="25"/>
      <c r="E41" s="25">
        <f>-'[1]ф3 '!H83</f>
        <v>-720000</v>
      </c>
      <c r="F41" s="25"/>
      <c r="G41" s="16"/>
      <c r="I41" s="17"/>
    </row>
    <row r="42" spans="2:9" ht="32.25" thickBot="1">
      <c r="B42" s="42" t="s">
        <v>109</v>
      </c>
      <c r="C42" s="19"/>
      <c r="D42" s="39">
        <f>D37+D39+D41</f>
        <v>-10057191</v>
      </c>
      <c r="E42" s="39">
        <f>E37+E40+E41+E39</f>
        <v>-9400948</v>
      </c>
      <c r="F42" s="34"/>
      <c r="G42" s="35"/>
      <c r="I42" s="17"/>
    </row>
    <row r="43" spans="2:9" ht="31.5">
      <c r="B43" s="15" t="s">
        <v>110</v>
      </c>
      <c r="C43" s="12"/>
      <c r="D43" s="25">
        <f>'[1]ф3 '!G85</f>
        <v>33947</v>
      </c>
      <c r="E43" s="25">
        <f>'[1]ф3 '!H85</f>
        <v>7062</v>
      </c>
      <c r="F43" s="25"/>
      <c r="G43" s="16"/>
      <c r="I43" s="17"/>
    </row>
    <row r="44" spans="2:9" ht="31.5">
      <c r="B44" s="26" t="s">
        <v>111</v>
      </c>
      <c r="C44" s="27"/>
      <c r="D44" s="25">
        <f>D25+D33+D42+D43</f>
        <v>2636227</v>
      </c>
      <c r="E44" s="25">
        <f>E25+E33+E42+E43</f>
        <v>2988862</v>
      </c>
      <c r="F44" s="25"/>
      <c r="G44" s="16"/>
      <c r="I44" s="17"/>
    </row>
    <row r="45" spans="2:9" ht="32.25" thickBot="1">
      <c r="B45" s="26" t="s">
        <v>112</v>
      </c>
      <c r="C45" s="27">
        <v>13</v>
      </c>
      <c r="D45" s="38">
        <f>'[1]формы по мсфо '!$E$22</f>
        <v>1471078</v>
      </c>
      <c r="E45" s="38">
        <f>'[1]ф3 '!H87</f>
        <v>1272688</v>
      </c>
      <c r="F45" s="38"/>
      <c r="G45" s="38"/>
      <c r="I45" s="17"/>
    </row>
    <row r="46" spans="2:9" ht="32.25" thickBot="1">
      <c r="B46" s="43" t="s">
        <v>113</v>
      </c>
      <c r="C46" s="44">
        <v>13</v>
      </c>
      <c r="D46" s="45">
        <f>D45+D44</f>
        <v>4107305</v>
      </c>
      <c r="E46" s="45">
        <f>E45+E44</f>
        <v>4261550</v>
      </c>
      <c r="F46" s="35"/>
      <c r="G46" s="35"/>
      <c r="H46" s="6"/>
      <c r="I46" s="17"/>
    </row>
    <row r="47" spans="2:9" ht="15.75">
      <c r="B47" s="3"/>
      <c r="I47" s="17"/>
    </row>
    <row r="48" spans="2:9" ht="15.75">
      <c r="B48" s="3"/>
      <c r="D48" s="46"/>
      <c r="E48" s="46"/>
      <c r="F48" s="46"/>
      <c r="G48" s="47"/>
      <c r="I48" s="17"/>
    </row>
    <row r="49" spans="2:9" ht="15.75">
      <c r="B49" s="3"/>
      <c r="I49" s="17"/>
    </row>
    <row r="50" spans="2:9" ht="15.75">
      <c r="B50" t="s">
        <v>123</v>
      </c>
      <c r="C50"/>
      <c r="D50" s="2" t="s">
        <v>124</v>
      </c>
      <c r="I50" s="17"/>
    </row>
    <row r="51" spans="2:4" ht="15.75">
      <c r="B51"/>
      <c r="C51"/>
      <c r="D51" s="1"/>
    </row>
    <row r="52" spans="2:4" ht="15.75">
      <c r="B52" t="s">
        <v>125</v>
      </c>
      <c r="C52"/>
      <c r="D52" s="1" t="s">
        <v>126</v>
      </c>
    </row>
  </sheetData>
  <sheetProtection/>
  <mergeCells count="4">
    <mergeCell ref="B8:B9"/>
    <mergeCell ref="C8:C9"/>
    <mergeCell ref="D8:D9"/>
    <mergeCell ref="E8:E9"/>
  </mergeCells>
  <printOptions/>
  <pageMargins left="0" right="0" top="0" bottom="0" header="0.31496062992125984" footer="0.31496062992125984"/>
  <pageSetup horizontalDpi="600" verticalDpi="600" orientation="portrait" scale="55" r:id="rId1"/>
  <rowBreaks count="1" manualBreakCount="1">
    <brk id="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3:G32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9.125" style="5" customWidth="1"/>
    <col min="2" max="2" width="53.75390625" style="5" bestFit="1" customWidth="1"/>
    <col min="3" max="3" width="11.25390625" style="5" bestFit="1" customWidth="1"/>
    <col min="4" max="4" width="21.375" style="6" customWidth="1"/>
    <col min="5" max="5" width="18.25390625" style="6" customWidth="1"/>
    <col min="6" max="6" width="21.75390625" style="5" customWidth="1"/>
    <col min="7" max="7" width="21.75390625" style="8" customWidth="1"/>
    <col min="8" max="8" width="20.125" style="5" customWidth="1"/>
    <col min="9" max="9" width="23.75390625" style="5" customWidth="1"/>
    <col min="10" max="16384" width="9.125" style="5" customWidth="1"/>
  </cols>
  <sheetData>
    <row r="3" ht="15.75">
      <c r="B3" s="4" t="s">
        <v>0</v>
      </c>
    </row>
    <row r="5" spans="2:7" ht="15.75">
      <c r="B5" s="118" t="s">
        <v>128</v>
      </c>
      <c r="C5" s="118"/>
      <c r="D5" s="118"/>
      <c r="E5" s="118"/>
      <c r="F5" s="118"/>
      <c r="G5" s="118"/>
    </row>
    <row r="6" ht="15.75">
      <c r="B6" s="9" t="s">
        <v>127</v>
      </c>
    </row>
    <row r="10" ht="16.5" thickBot="1"/>
    <row r="11" spans="2:7" ht="32.25" thickBot="1">
      <c r="B11" s="48" t="s">
        <v>102</v>
      </c>
      <c r="C11" s="49" t="s">
        <v>104</v>
      </c>
      <c r="D11" s="50" t="s">
        <v>30</v>
      </c>
      <c r="E11" s="50" t="s">
        <v>114</v>
      </c>
      <c r="F11" s="49" t="s">
        <v>129</v>
      </c>
      <c r="G11" s="51" t="s">
        <v>33</v>
      </c>
    </row>
    <row r="12" spans="2:7" ht="15.75">
      <c r="B12" s="37" t="s">
        <v>115</v>
      </c>
      <c r="C12" s="40"/>
      <c r="D12" s="52">
        <f>'[1]ф4 '!F54</f>
        <v>100000</v>
      </c>
      <c r="E12" s="52">
        <f>'[1]ф4 '!I54</f>
        <v>0</v>
      </c>
      <c r="F12" s="52">
        <f>'[1]ф4 '!J54</f>
        <v>9705685</v>
      </c>
      <c r="G12" s="52">
        <f>D12+E12+F12</f>
        <v>9805685</v>
      </c>
    </row>
    <row r="13" spans="2:7" ht="16.5" thickBot="1">
      <c r="B13" s="53" t="s">
        <v>116</v>
      </c>
      <c r="C13" s="54"/>
      <c r="D13" s="55"/>
      <c r="E13" s="56"/>
      <c r="F13" s="56">
        <f>'[1]ф4 '!J55</f>
        <v>0</v>
      </c>
      <c r="G13" s="57">
        <f>D13+E13+F13</f>
        <v>0</v>
      </c>
    </row>
    <row r="14" spans="2:7" ht="15.75">
      <c r="B14" s="37" t="s">
        <v>117</v>
      </c>
      <c r="C14" s="40"/>
      <c r="D14" s="52">
        <f>D12+D13</f>
        <v>100000</v>
      </c>
      <c r="E14" s="52">
        <f>E12+E13</f>
        <v>0</v>
      </c>
      <c r="F14" s="58">
        <f>F12+F13</f>
        <v>9705685</v>
      </c>
      <c r="G14" s="58">
        <f>G12+G13</f>
        <v>9805685</v>
      </c>
    </row>
    <row r="15" spans="2:7" ht="15.75">
      <c r="B15" s="59" t="s">
        <v>74</v>
      </c>
      <c r="C15" s="60"/>
      <c r="D15" s="61" t="s">
        <v>37</v>
      </c>
      <c r="E15" s="61">
        <v>0</v>
      </c>
      <c r="F15" s="62">
        <f>'[1]ф4 '!$J$58</f>
        <v>16568097</v>
      </c>
      <c r="G15" s="62">
        <f>F15</f>
        <v>16568097</v>
      </c>
    </row>
    <row r="16" spans="2:7" ht="15.75">
      <c r="B16" s="59" t="s">
        <v>118</v>
      </c>
      <c r="C16" s="60"/>
      <c r="D16" s="61" t="s">
        <v>37</v>
      </c>
      <c r="E16" s="61" t="s">
        <v>37</v>
      </c>
      <c r="F16" s="62">
        <f>'[1]ф4 '!J81</f>
        <v>-7042390</v>
      </c>
      <c r="G16" s="62">
        <f>F16</f>
        <v>-7042390</v>
      </c>
    </row>
    <row r="17" spans="2:7" ht="16.5" thickBot="1">
      <c r="B17" s="37" t="s">
        <v>119</v>
      </c>
      <c r="C17" s="40"/>
      <c r="D17" s="52" t="str">
        <f>D15</f>
        <v>-</v>
      </c>
      <c r="E17" s="52">
        <f>E15</f>
        <v>0</v>
      </c>
      <c r="F17" s="58">
        <f>F15+F16</f>
        <v>9525707</v>
      </c>
      <c r="G17" s="58">
        <f>G15+G16</f>
        <v>9525707</v>
      </c>
    </row>
    <row r="18" spans="2:7" ht="16.5" thickBot="1">
      <c r="B18" s="43" t="s">
        <v>120</v>
      </c>
      <c r="C18" s="49"/>
      <c r="D18" s="63">
        <f>D14</f>
        <v>100000</v>
      </c>
      <c r="E18" s="63" t="s">
        <v>37</v>
      </c>
      <c r="F18" s="64">
        <f>F14+F17</f>
        <v>19231392</v>
      </c>
      <c r="G18" s="64">
        <f>G14+G17</f>
        <v>19331392</v>
      </c>
    </row>
    <row r="19" spans="2:7" ht="15.75">
      <c r="B19" s="40"/>
      <c r="C19" s="40"/>
      <c r="D19" s="52"/>
      <c r="E19" s="52"/>
      <c r="F19" s="58"/>
      <c r="G19" s="58"/>
    </row>
    <row r="20" spans="2:7" ht="15.75">
      <c r="B20" s="37" t="s">
        <v>121</v>
      </c>
      <c r="C20" s="40"/>
      <c r="D20" s="52">
        <f>'[1]ф4 '!F22</f>
        <v>100000</v>
      </c>
      <c r="E20" s="52">
        <f>'[1]ф4 '!I22</f>
        <v>0</v>
      </c>
      <c r="F20" s="58">
        <f>'[1]ф4 '!J22</f>
        <v>9438904</v>
      </c>
      <c r="G20" s="58">
        <f>SUM(D20:F20)</f>
        <v>9538904</v>
      </c>
    </row>
    <row r="21" spans="2:7" ht="16.5" thickBot="1">
      <c r="B21" s="53" t="s">
        <v>116</v>
      </c>
      <c r="C21" s="54"/>
      <c r="D21" s="55"/>
      <c r="E21" s="56"/>
      <c r="F21" s="57">
        <v>0</v>
      </c>
      <c r="G21" s="57">
        <f aca="true" t="shared" si="0" ref="G21:G26">D21+E21+F21</f>
        <v>0</v>
      </c>
    </row>
    <row r="22" spans="2:7" ht="15.75">
      <c r="B22" s="37" t="s">
        <v>117</v>
      </c>
      <c r="C22" s="40"/>
      <c r="D22" s="52">
        <f>D20+D21</f>
        <v>100000</v>
      </c>
      <c r="E22" s="52">
        <f>E20+E21</f>
        <v>0</v>
      </c>
      <c r="F22" s="58">
        <f>F20+F21</f>
        <v>9438904</v>
      </c>
      <c r="G22" s="67">
        <f t="shared" si="0"/>
        <v>9538904</v>
      </c>
    </row>
    <row r="23" spans="2:7" ht="15.75">
      <c r="B23" s="26" t="s">
        <v>74</v>
      </c>
      <c r="C23" s="27"/>
      <c r="D23" s="61">
        <v>0</v>
      </c>
      <c r="E23" s="61">
        <v>0</v>
      </c>
      <c r="F23" s="62">
        <f>'[1]ф2 '!$I$37</f>
        <v>13881224</v>
      </c>
      <c r="G23" s="68">
        <f t="shared" si="0"/>
        <v>13881224</v>
      </c>
    </row>
    <row r="24" spans="2:7" ht="15.75">
      <c r="B24" s="26" t="s">
        <v>118</v>
      </c>
      <c r="C24" s="27"/>
      <c r="D24" s="61"/>
      <c r="E24" s="61"/>
      <c r="F24" s="62">
        <f>'[1]ф4 '!J38</f>
        <v>-9438904</v>
      </c>
      <c r="G24" s="68">
        <f t="shared" si="0"/>
        <v>-9438904</v>
      </c>
    </row>
    <row r="25" spans="2:7" ht="16.5" thickBot="1">
      <c r="B25" s="37" t="s">
        <v>119</v>
      </c>
      <c r="C25" s="40"/>
      <c r="D25" s="52">
        <v>0</v>
      </c>
      <c r="E25" s="52">
        <v>0</v>
      </c>
      <c r="F25" s="58">
        <f>SUM(F23:F24)</f>
        <v>4442320</v>
      </c>
      <c r="G25" s="57">
        <f t="shared" si="0"/>
        <v>4442320</v>
      </c>
    </row>
    <row r="26" spans="2:7" ht="16.5" thickBot="1">
      <c r="B26" s="43" t="s">
        <v>122</v>
      </c>
      <c r="C26" s="49"/>
      <c r="D26" s="63">
        <f>D22+D25</f>
        <v>100000</v>
      </c>
      <c r="E26" s="63">
        <f>E22+E25</f>
        <v>0</v>
      </c>
      <c r="F26" s="64">
        <f>F22+F25</f>
        <v>13881224</v>
      </c>
      <c r="G26" s="66">
        <f t="shared" si="0"/>
        <v>13981224</v>
      </c>
    </row>
    <row r="30" spans="2:4" ht="15.75">
      <c r="B30" s="5" t="s">
        <v>123</v>
      </c>
      <c r="D30" s="65" t="s">
        <v>124</v>
      </c>
    </row>
    <row r="32" spans="2:4" ht="15.75">
      <c r="B32" s="5" t="s">
        <v>125</v>
      </c>
      <c r="D32" s="6" t="s">
        <v>126</v>
      </c>
    </row>
  </sheetData>
  <sheetProtection/>
  <mergeCells count="1">
    <mergeCell ref="B5:G5"/>
  </mergeCells>
  <printOptions/>
  <pageMargins left="0" right="0" top="0" bottom="0" header="0.31496062992125984" footer="0.31496062992125984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Lebedeva / Caspineft</dc:creator>
  <cp:keywords/>
  <dc:description/>
  <cp:lastModifiedBy>Svetlana Lebedeva / Caspineft</cp:lastModifiedBy>
  <dcterms:created xsi:type="dcterms:W3CDTF">2013-11-05T10:53:50Z</dcterms:created>
  <dcterms:modified xsi:type="dcterms:W3CDTF">2013-11-13T06:55:44Z</dcterms:modified>
  <cp:category/>
  <cp:version/>
  <cp:contentType/>
  <cp:contentStatus/>
</cp:coreProperties>
</file>