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85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Лист1!$B$2:$E$57</definedName>
    <definedName name="_xlnm.Print_Area" localSheetId="1">Лист2!$B$2:$E$27</definedName>
  </definedNames>
  <calcPr calcId="144525"/>
</workbook>
</file>

<file path=xl/calcChain.xml><?xml version="1.0" encoding="utf-8"?>
<calcChain xmlns="http://schemas.openxmlformats.org/spreadsheetml/2006/main">
  <c r="E48" i="1" l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38" i="1"/>
  <c r="D38" i="1"/>
  <c r="E30" i="1"/>
  <c r="D30" i="1"/>
  <c r="E23" i="1"/>
  <c r="E24" i="1" s="1"/>
  <c r="D23" i="1"/>
  <c r="D24" i="1" s="1"/>
  <c r="E12" i="1"/>
  <c r="D12" i="1"/>
  <c r="E37" i="1"/>
  <c r="D37" i="1"/>
  <c r="E36" i="1"/>
  <c r="D36" i="1"/>
  <c r="E35" i="1"/>
  <c r="D35" i="1"/>
  <c r="E34" i="1"/>
  <c r="D34" i="1"/>
  <c r="E33" i="1"/>
  <c r="D33" i="1"/>
  <c r="E29" i="1"/>
  <c r="D29" i="1"/>
  <c r="E28" i="1"/>
  <c r="D28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1" i="1"/>
  <c r="D11" i="1"/>
  <c r="E10" i="1"/>
  <c r="D10" i="1"/>
  <c r="E9" i="1"/>
  <c r="D9" i="1"/>
  <c r="E8" i="1"/>
  <c r="D8" i="1"/>
  <c r="E7" i="1"/>
  <c r="D7" i="1"/>
  <c r="E6" i="1"/>
  <c r="D6" i="1"/>
  <c r="E5" i="4" l="1"/>
  <c r="C8" i="4" l="1"/>
  <c r="D14" i="4"/>
  <c r="C14" i="4"/>
  <c r="E13" i="4"/>
  <c r="E12" i="4"/>
  <c r="E11" i="4"/>
  <c r="E10" i="4"/>
  <c r="D8" i="4"/>
  <c r="E7" i="4"/>
  <c r="E55" i="3"/>
  <c r="D55" i="3"/>
  <c r="E52" i="3"/>
  <c r="D52" i="3"/>
  <c r="E50" i="3"/>
  <c r="D50" i="3"/>
  <c r="E42" i="3"/>
  <c r="D42" i="3"/>
  <c r="E17" i="3"/>
  <c r="E29" i="3" s="1"/>
  <c r="E33" i="3" s="1"/>
  <c r="D17" i="3"/>
  <c r="D29" i="3" s="1"/>
  <c r="D33" i="3" s="1"/>
  <c r="E6" i="2"/>
  <c r="E11" i="2" s="1"/>
  <c r="E16" i="2" s="1"/>
  <c r="E19" i="2" s="1"/>
  <c r="E20" i="2" s="1"/>
  <c r="D6" i="2"/>
  <c r="D11" i="2" s="1"/>
  <c r="D16" i="2" s="1"/>
  <c r="D19" i="2" s="1"/>
  <c r="D20" i="2" s="1"/>
  <c r="E14" i="4" l="1"/>
  <c r="E8" i="4"/>
  <c r="D49" i="1" l="1"/>
  <c r="D50" i="1" s="1"/>
  <c r="D51" i="1" l="1"/>
  <c r="E49" i="1"/>
  <c r="E50" i="1" l="1"/>
  <c r="E51" i="1" s="1"/>
  <c r="D52" i="1"/>
  <c r="E52" i="1"/>
</calcChain>
</file>

<file path=xl/sharedStrings.xml><?xml version="1.0" encoding="utf-8"?>
<sst xmlns="http://schemas.openxmlformats.org/spreadsheetml/2006/main" count="137" uniqueCount="114">
  <si>
    <t>Активы</t>
  </si>
  <si>
    <t>Долгосрочные активы</t>
  </si>
  <si>
    <t>Основные средства</t>
  </si>
  <si>
    <t>Нематериальные активы</t>
  </si>
  <si>
    <t>Долгосрочные банковские вклады</t>
  </si>
  <si>
    <t>Расходы будущих периодов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</si>
  <si>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</si>
  <si>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</si>
  <si>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</si>
  <si>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</si>
  <si>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</si>
  <si>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</si>
  <si>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Краткосрочные банковские вклады</t>
  </si>
  <si>
    <t>Прочие текущие активы</t>
  </si>
  <si>
    <t>Денежные средства и их эквиваленты</t>
  </si>
  <si>
    <t>Итого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</si>
  <si>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</si>
  <si>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</si>
  <si>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</si>
  <si>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</si>
  <si>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</si>
  <si>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Долгосрочные обязательства</t>
  </si>
  <si>
    <t>Процентные займы и привлеченные средства</t>
  </si>
  <si>
    <t>Обязательства по отсроченному подоходному налогу</t>
  </si>
  <si>
    <t>Отсроченные доходы</t>
  </si>
  <si>
    <t>Текущие обязательства</t>
  </si>
  <si>
    <t>Торговая кредиторская задолженность</t>
  </si>
  <si>
    <t>Авансы полученные</t>
  </si>
  <si>
    <t>Налоги к уплате</t>
  </si>
  <si>
    <t>Задолженность по займам газа</t>
  </si>
  <si>
    <t>Прочие текущие обязательства</t>
  </si>
  <si>
    <t>Итого обязательства</t>
  </si>
  <si>
    <t>Итого капитал и обязательства</t>
  </si>
  <si>
    <t>Доходы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</si>
  <si>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</si>
  <si>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</si>
  <si>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</si>
  <si>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</si>
  <si>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операционные доходы</t>
  </si>
  <si>
    <t>Прочие операционные расходы</t>
  </si>
  <si>
    <t>Прибыль от операционной деятельности</t>
  </si>
  <si>
    <t>Финансовые доходы</t>
  </si>
  <si>
    <t>Финансовые затраты</t>
  </si>
  <si>
    <t>Прибыль до подоходного налога</t>
  </si>
  <si>
    <t>Расходы по подоходному налогу</t>
  </si>
  <si>
    <t>Чистая прибыль за год</t>
  </si>
  <si>
    <t>Операционная деятельность:</t>
  </si>
  <si>
    <t>Неденежные корректировки для сверки прибыли до подоходного налога с чистыми денежными потоками:</t>
  </si>
  <si>
    <t>Износ и амортизация</t>
  </si>
  <si>
    <t>и прочих текущих активов</t>
  </si>
  <si>
    <t>Нереализованная отрицательная/(положительная) курсовая разница</t>
  </si>
  <si>
    <t>Амортизация отсроченных доходов</t>
  </si>
  <si>
    <t>Начисление резерва по неиспользованным отпускам и премиям сотрудникам</t>
  </si>
  <si>
    <t>Резерв по устаревшим неликвидным запасам</t>
  </si>
  <si>
    <t>Поступление денежных средств от операционной деятельности до изменений в оборотном капитале</t>
  </si>
  <si>
    <t>(Увеличение)/уменьшение в операционных активах:</t>
  </si>
  <si>
    <t>Запасы</t>
  </si>
  <si>
    <t>Увеличение/(уменьшение) в операционных обязательствах:</t>
  </si>
  <si>
    <t>Поступление денежных средств от операционной деятельности</t>
  </si>
  <si>
    <t>Проценты уплаченные</t>
  </si>
  <si>
    <t>Уплаченный подоходный налог</t>
  </si>
  <si>
    <t>Проценты полученные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</si>
  <si>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</si>
  <si>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</si>
  <si>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Приобретение нематериальных активов</t>
  </si>
  <si>
    <t>Приобретение основных средств</t>
  </si>
  <si>
    <t>Поступление от продажи основных средств</t>
  </si>
  <si>
    <t>Чистое использование денежных средств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</si>
  <si>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</si>
  <si>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</si>
  <si>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</si>
  <si>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Поступления в уставный капитал</t>
  </si>
  <si>
    <t>Чистое поступление денежных средств от финансовой деятельности</t>
  </si>
  <si>
    <t>Чистое изменение в денежных средствах и их эквивалентах</t>
  </si>
  <si>
    <t>Итого</t>
  </si>
  <si>
    <t>На 1 января 2014 года</t>
  </si>
  <si>
    <t>Отчёт о совокупном доходе</t>
  </si>
  <si>
    <t>Отчёт о движении денежных средств</t>
  </si>
  <si>
    <t>Отчёт об изменениях в капитале</t>
  </si>
  <si>
    <t>Отчёт о финансовом положении</t>
  </si>
  <si>
    <t>Базовая прибыль на акцию</t>
  </si>
  <si>
    <t>Разводненная прибыль на акцию</t>
  </si>
  <si>
    <t>Прим.</t>
  </si>
  <si>
    <t>в тысячах тенге</t>
  </si>
  <si>
    <t>Положительная/(отрицательная) курсовая разница нетто</t>
  </si>
  <si>
    <t>Итого совокупный доход за год за вычетом подоходного налога</t>
  </si>
  <si>
    <t>22,23,24</t>
  </si>
  <si>
    <t>Финансовые затраты нетто</t>
  </si>
  <si>
    <t>Начисление/(Сторнирование) резерва по сомнительной дебиторской задолженности на обесценение авансов выданных</t>
  </si>
  <si>
    <t>Убыток/(Доходы) от выбытия основных средств и нематериальных активов нетто</t>
  </si>
  <si>
    <t>Амортизация жилищных компенсаций выданных сотрудникам</t>
  </si>
  <si>
    <t>Денежные средства и их эквиваленты на 1 января</t>
  </si>
  <si>
    <t>Взнос Акционера</t>
  </si>
  <si>
    <t>Денежные средства, ограниченные в использовании</t>
  </si>
  <si>
    <t xml:space="preserve">Авансы выданные </t>
  </si>
  <si>
    <t>Выпущенные долговые ценные бумаги</t>
  </si>
  <si>
    <t>Резерв по ликвидации газопровода и восстановлению участка</t>
  </si>
  <si>
    <t>Вознаграждение к выплате по долговым ценным бумагам</t>
  </si>
  <si>
    <t>(Размещение)/снятие депозитов, нетто</t>
  </si>
  <si>
    <t>Размещение денежных средств, ограниченных в использовании</t>
  </si>
  <si>
    <t>Авансы, выданные под поставку основных средств</t>
  </si>
  <si>
    <t>Поступления по выпущенным долговым ценным бумагам</t>
  </si>
  <si>
    <t>Дивиденды выплаченные</t>
  </si>
  <si>
    <t>Чистая курсовая разница</t>
  </si>
  <si>
    <t>1 полугодие 2014</t>
  </si>
  <si>
    <t>1 полугодие 2013</t>
  </si>
  <si>
    <t>Чистая прибыль за период</t>
  </si>
  <si>
    <t xml:space="preserve">
Взносы со стороны «ФНБ Самрук-Казына»</t>
  </si>
  <si>
    <t>Выплата дивидендов</t>
  </si>
  <si>
    <t>Выпуск акций</t>
  </si>
  <si>
    <t>На 30 июня 2014 года</t>
  </si>
  <si>
    <t>Итого совокупный доход за период</t>
  </si>
  <si>
    <t>Денежные средства и их эквиваленты на 30 июня</t>
  </si>
  <si>
    <t>Балансовая стоимость простой акции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</si>
</sst>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164" fontId="0" fillId="0" borderId="0" xfId="1" applyNumberFormat="1" applyFont="1" applyAlignment="1"/>
    <xf numFmtId="164" fontId="2" fillId="0" borderId="0" xfId="1" applyNumberFormat="1" applyFont="1" applyAlignment="1"/>
    <xf numFmtId="164" fontId="0" fillId="0" borderId="0" xfId="1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10" fillId="0" borderId="0" xfId="0" applyFont="1"/>
    <xf numFmtId="164" fontId="7" fillId="0" borderId="0" xfId="1" applyNumberFormat="1" applyFont="1" applyAlignment="1">
      <alignment horizontal="left" vertical="center" wrapText="1"/>
    </xf>
    <xf numFmtId="164" fontId="10" fillId="0" borderId="0" xfId="1" applyNumberFormat="1" applyFont="1" applyAlignment="1">
      <alignment horizontal="left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164" fontId="7" fillId="0" borderId="4" xfId="1" applyNumberFormat="1" applyFont="1" applyBorder="1" applyAlignment="1">
      <alignment horizontal="left" vertical="center" wrapText="1"/>
    </xf>
    <xf numFmtId="164" fontId="10" fillId="0" borderId="4" xfId="1" applyNumberFormat="1" applyFont="1" applyBorder="1" applyAlignment="1">
      <alignment horizontal="left" vertical="center" wrapText="1"/>
    </xf>
    <xf numFmtId="164" fontId="7" fillId="0" borderId="0" xfId="1" applyNumberFormat="1" applyFont="1" applyAlignment="1">
      <alignment horizontal="left" vertical="center"/>
    </xf>
    <xf numFmtId="164" fontId="9" fillId="0" borderId="0" xfId="1" applyNumberFormat="1" applyFont="1" applyAlignment="1">
      <alignment horizontal="left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5" fillId="0" borderId="1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vertical="center"/>
    </xf>
    <xf numFmtId="164" fontId="4" fillId="0" borderId="0" xfId="1" applyNumberFormat="1" applyFont="1"/>
    <xf numFmtId="164" fontId="4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5" fillId="0" borderId="0" xfId="1" applyNumberFormat="1" applyFont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right" vertical="center"/>
    </xf>
    <xf numFmtId="164" fontId="10" fillId="0" borderId="6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Border="1"/>
    <xf numFmtId="164" fontId="7" fillId="0" borderId="3" xfId="1" applyNumberFormat="1" applyFont="1" applyBorder="1" applyAlignment="1">
      <alignment horizontal="right" vertical="center"/>
    </xf>
    <xf numFmtId="0" fontId="10" fillId="0" borderId="7" xfId="0" applyFont="1" applyBorder="1"/>
    <xf numFmtId="164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164" fontId="7" fillId="0" borderId="7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10" fillId="0" borderId="7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14" fontId="4" fillId="0" borderId="1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12" fillId="0" borderId="0" xfId="1" applyNumberFormat="1" applyFont="1" applyAlignment="1">
      <alignment wrapText="1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0" fillId="0" borderId="0" xfId="0"/>
    <xf numFmtId="164" fontId="7" fillId="0" borderId="0" xfId="1" applyNumberFormat="1" applyFont="1"/>
    <xf numFmtId="164" fontId="4" fillId="0" borderId="4" xfId="1" applyNumberFormat="1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left" vertical="center"/>
    </xf>
    <xf numFmtId="164" fontId="7" fillId="0" borderId="0" xfId="1" applyNumberFormat="1" applyFont="1" applyAlignment="1">
      <alignment horizontal="left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41"/>
  <sheetViews>
    <sheetView tabSelected="1" workbookViewId="0">
      <selection activeCell="B2" sqref="B2"/>
    </sheetView>
  </sheetViews>
  <sheetFormatPr defaultRowHeight="15" x14ac:dyDescent="0.25"/>
  <cols>
    <col min="1" max="1" width="9.140625" style="1"/>
    <col min="2" max="2" width="58.5703125" style="1" customWidth="1"/>
    <col min="3" max="3" width="9.140625" style="1" customWidth="1"/>
    <col min="4" max="4" width="16.5703125" style="1" customWidth="1"/>
    <col min="5" max="5" width="15.85546875" style="1" customWidth="1"/>
    <col min="6" max="6" width="13.42578125" style="1" customWidth="1"/>
    <col min="7" max="7" width="12.5703125" style="1" customWidth="1"/>
    <col min="8" max="16384" width="9.140625" style="1"/>
  </cols>
  <sheetData>
    <row r="2" spans="2:6" ht="15.75" x14ac:dyDescent="0.25">
      <c r="B2" s="86" t="s">
        <v>79</v>
      </c>
    </row>
    <row r="3" spans="2:6" ht="15.75" thickBot="1" x14ac:dyDescent="0.3">
      <c r="B3" s="28" t="s">
        <v>83</v>
      </c>
      <c r="C3" s="29" t="s">
        <v>82</v>
      </c>
      <c r="D3" s="85">
        <v>41820</v>
      </c>
      <c r="E3" s="85">
        <v>41639</v>
      </c>
      <c r="F3" s="2"/>
    </row>
    <row r="4" spans="2:6" x14ac:dyDescent="0.25">
      <c r="B4" s="31" t="s">
        <v>0</v>
      </c>
      <c r="C4" s="32"/>
      <c r="D4" s="80"/>
      <c r="E4" s="80"/>
      <c r="F4" s="2"/>
    </row>
    <row r="5" spans="2:6" x14ac:dyDescent="0.25">
      <c r="B5" s="31" t="s">
        <v>1</v>
      </c>
      <c r="C5" s="32"/>
      <c r="D5" s="80"/>
      <c r="E5" s="80"/>
      <c r="F5" s="2"/>
    </row>
    <row r="6" spans="2:6" x14ac:dyDescent="0.25">
      <c r="B6" s="33" t="s">
        <v>2</v>
      </c>
      <c r="C6" s="97">
        <v>3</v>
      </c>
      <c r="D6" s="82">
        <f>107002397000/(1000)</f>
        <v>107002397</v>
      </c>
      <c r="E6" s="82">
        <f>95543254000/(1000)</f>
        <v>95543254</v>
      </c>
      <c r="F6" s="2"/>
    </row>
    <row r="7" spans="2:6" x14ac:dyDescent="0.25">
      <c r="B7" s="33" t="s">
        <v>3</v>
      </c>
      <c r="C7" s="97"/>
      <c r="D7" s="82">
        <f>238664000/(1000)</f>
        <v>238664</v>
      </c>
      <c r="E7" s="82">
        <f>270943000/(1000)</f>
        <v>270943</v>
      </c>
      <c r="F7" s="2"/>
    </row>
    <row r="8" spans="2:6" x14ac:dyDescent="0.25">
      <c r="B8" s="33" t="s">
        <v>4</v>
      </c>
      <c r="C8" s="97">
        <v>11</v>
      </c>
      <c r="D8" s="82">
        <f>200000000/(1000)</f>
        <v>200000</v>
      </c>
      <c r="E8" s="82">
        <f>200000000/(1000)</f>
        <v>200000</v>
      </c>
      <c r="F8" s="2"/>
    </row>
    <row r="9" spans="2:6" x14ac:dyDescent="0.25">
      <c r="B9" s="33" t="s">
        <v>93</v>
      </c>
      <c r="C9" s="97">
        <v>10</v>
      </c>
      <c r="D9" s="82">
        <f>280806000/(1000)</f>
        <v>280806</v>
      </c>
      <c r="E9" s="82">
        <f>187744000/(1000)</f>
        <v>187744</v>
      </c>
      <c r="F9" s="2"/>
    </row>
    <row r="10" spans="2:6" x14ac:dyDescent="0.25">
      <c r="B10" s="33" t="s">
        <v>94</v>
      </c>
      <c r="C10" s="97">
        <v>4</v>
      </c>
      <c r="D10" s="82">
        <f>3162311000/(1000)</f>
        <v>3162311</v>
      </c>
      <c r="E10" s="82">
        <f>0/(1000)</f>
        <v>0</v>
      </c>
      <c r="F10" s="2"/>
    </row>
    <row r="11" spans="2:6" ht="15.75" thickBot="1" x14ac:dyDescent="0.3">
      <c r="B11" s="33" t="s">
        <v>5</v>
      </c>
      <c r="C11" s="97">
        <v>5</v>
      </c>
      <c r="D11" s="82">
        <f>1074181000/(1000)</f>
        <v>1074181</v>
      </c>
      <c r="E11" s="82">
        <f>1437941000/(1000)</f>
        <v>1437941</v>
      </c>
      <c r="F11" s="2"/>
    </row>
    <row r="12" spans="2:6" ht="15.75" thickBot="1" x14ac:dyDescent="0.3">
      <c r="B12" s="34"/>
      <c r="C12" s="98"/>
      <c r="D12" s="35">
        <f>(SUM(D6:D11))</f>
        <v>111958359</v>
      </c>
      <c r="E12" s="35">
        <f>(SUM(E6:E11))</f>
        <v>97639882</v>
      </c>
      <c r="F12" s="2"/>
    </row>
    <row r="13" spans="2:6" x14ac:dyDescent="0.25">
      <c r="B13" s="37"/>
      <c r="C13" s="108"/>
      <c r="F13" s="2"/>
    </row>
    <row r="14" spans="2:6" x14ac:dyDescent="0.25">
      <c r="B14" s="31" t="s">
        <v>6</v>
      </c>
      <c r="C14" s="109"/>
      <c r="F14" s="2"/>
    </row>
    <row r="15" spans="2:6" x14ac:dyDescent="0.25">
      <c r="B15" s="33" t="s">
        <v>7</v>
      </c>
      <c r="C15" s="97">
        <v>6</v>
      </c>
      <c r="D15" s="82">
        <f>2033846000/(1000)</f>
        <v>2033846</v>
      </c>
      <c r="E15" s="82">
        <f>4477344000/(1000)</f>
        <v>4477344</v>
      </c>
      <c r="F15" s="2"/>
    </row>
    <row r="16" spans="2:6" x14ac:dyDescent="0.25">
      <c r="B16" s="33" t="s">
        <v>8</v>
      </c>
      <c r="C16" s="97">
        <v>7</v>
      </c>
      <c r="D16" s="82">
        <f>14304799000/(1000)</f>
        <v>14304799</v>
      </c>
      <c r="E16" s="82">
        <f>15412501000/(1000)</f>
        <v>15412501</v>
      </c>
      <c r="F16" s="2"/>
    </row>
    <row r="17" spans="2:6" x14ac:dyDescent="0.25">
      <c r="B17" s="33" t="s">
        <v>9</v>
      </c>
      <c r="C17" s="97">
        <v>4</v>
      </c>
      <c r="D17" s="82">
        <f>681243000/(1000)</f>
        <v>681243</v>
      </c>
      <c r="E17" s="82">
        <f>3131439000/(1000)</f>
        <v>3131439</v>
      </c>
      <c r="F17" s="2"/>
    </row>
    <row r="18" spans="2:6" x14ac:dyDescent="0.25">
      <c r="B18" s="33" t="s">
        <v>10</v>
      </c>
      <c r="C18" s="97">
        <v>8</v>
      </c>
      <c r="D18" s="82">
        <f>959318000/(1000)</f>
        <v>959318</v>
      </c>
      <c r="E18" s="82">
        <f>2404224000/(1000)</f>
        <v>2404224</v>
      </c>
      <c r="F18" s="2"/>
    </row>
    <row r="19" spans="2:6" x14ac:dyDescent="0.25">
      <c r="B19" s="33" t="s">
        <v>11</v>
      </c>
      <c r="C19" s="97">
        <v>24</v>
      </c>
      <c r="D19" s="82">
        <f>768665000/(1000)</f>
        <v>768665</v>
      </c>
      <c r="E19" s="82">
        <f>609279000/(1000)</f>
        <v>609279</v>
      </c>
      <c r="F19" s="2"/>
    </row>
    <row r="20" spans="2:6" x14ac:dyDescent="0.25">
      <c r="B20" s="33" t="s">
        <v>12</v>
      </c>
      <c r="C20" s="97">
        <v>11</v>
      </c>
      <c r="D20" s="82">
        <f>16678109000/(1000)</f>
        <v>16678109</v>
      </c>
      <c r="E20" s="82">
        <f>3022444000/(1000)</f>
        <v>3022444</v>
      </c>
      <c r="F20" s="2"/>
    </row>
    <row r="21" spans="2:6" x14ac:dyDescent="0.25">
      <c r="B21" s="33" t="s">
        <v>13</v>
      </c>
      <c r="C21" s="97">
        <v>9</v>
      </c>
      <c r="D21" s="82">
        <f>697862000/(1000)</f>
        <v>697862</v>
      </c>
      <c r="E21" s="82">
        <f>501455000/(1000)</f>
        <v>501455</v>
      </c>
      <c r="F21" s="2"/>
    </row>
    <row r="22" spans="2:6" ht="15.75" thickBot="1" x14ac:dyDescent="0.3">
      <c r="B22" s="33" t="s">
        <v>14</v>
      </c>
      <c r="C22" s="97">
        <v>10</v>
      </c>
      <c r="D22" s="82">
        <f>1181210000/(1000)</f>
        <v>1181210</v>
      </c>
      <c r="E22" s="82">
        <f>1943773000/(1000)</f>
        <v>1943773</v>
      </c>
      <c r="F22" s="2"/>
    </row>
    <row r="23" spans="2:6" ht="15.75" thickBot="1" x14ac:dyDescent="0.3">
      <c r="B23" s="36"/>
      <c r="C23" s="98"/>
      <c r="D23" s="35">
        <f>(SUM(D15:D22))</f>
        <v>37305052</v>
      </c>
      <c r="E23" s="35">
        <f>(SUM(E15:E22))</f>
        <v>31502459</v>
      </c>
      <c r="F23" s="2"/>
    </row>
    <row r="24" spans="2:6" ht="15.75" thickBot="1" x14ac:dyDescent="0.3">
      <c r="B24" s="39" t="s">
        <v>15</v>
      </c>
      <c r="C24" s="99"/>
      <c r="D24" s="83">
        <f>(SUM(D23,D12))</f>
        <v>149263411</v>
      </c>
      <c r="E24" s="83">
        <f>(SUM(E23,E12))</f>
        <v>129142341</v>
      </c>
      <c r="F24" s="2"/>
    </row>
    <row r="25" spans="2:6" ht="15.75" thickTop="1" x14ac:dyDescent="0.25">
      <c r="B25" s="33"/>
      <c r="C25" s="97"/>
      <c r="F25" s="2"/>
    </row>
    <row r="26" spans="2:6" x14ac:dyDescent="0.25">
      <c r="B26" s="31" t="s">
        <v>16</v>
      </c>
      <c r="C26" s="97"/>
      <c r="F26" s="2"/>
    </row>
    <row r="27" spans="2:6" x14ac:dyDescent="0.25">
      <c r="B27" s="31" t="s">
        <v>17</v>
      </c>
      <c r="C27" s="97"/>
      <c r="F27" s="2"/>
    </row>
    <row r="28" spans="2:6" x14ac:dyDescent="0.25">
      <c r="B28" s="33" t="s">
        <v>18</v>
      </c>
      <c r="C28" s="97">
        <v>12</v>
      </c>
      <c r="D28" s="82">
        <f>63149800000/(1000)</f>
        <v>63149800</v>
      </c>
      <c r="E28" s="82">
        <f>62478299000/(1000)</f>
        <v>62478299</v>
      </c>
      <c r="F28" s="2"/>
    </row>
    <row r="29" spans="2:6" ht="15.75" thickBot="1" x14ac:dyDescent="0.3">
      <c r="B29" s="33" t="s">
        <v>19</v>
      </c>
      <c r="C29" s="97">
        <v>12</v>
      </c>
      <c r="D29" s="82">
        <f>21751675000/(1000)</f>
        <v>21751675</v>
      </c>
      <c r="E29" s="82">
        <f>11314392000/(1000)</f>
        <v>11314392</v>
      </c>
      <c r="F29" s="2"/>
    </row>
    <row r="30" spans="2:6" ht="15.75" thickBot="1" x14ac:dyDescent="0.3">
      <c r="B30" s="36" t="s">
        <v>20</v>
      </c>
      <c r="C30" s="100"/>
      <c r="D30" s="41">
        <f>(SUM(D28:D29))</f>
        <v>84901475</v>
      </c>
      <c r="E30" s="41">
        <f>(SUM(E28:E29))</f>
        <v>73792691</v>
      </c>
      <c r="F30" s="2"/>
    </row>
    <row r="31" spans="2:6" x14ac:dyDescent="0.25">
      <c r="B31" s="31"/>
      <c r="C31" s="97"/>
      <c r="F31" s="2"/>
    </row>
    <row r="32" spans="2:6" x14ac:dyDescent="0.25">
      <c r="B32" s="31" t="s">
        <v>21</v>
      </c>
      <c r="C32" s="97"/>
      <c r="F32" s="2"/>
    </row>
    <row r="33" spans="2:6" x14ac:dyDescent="0.25">
      <c r="B33" s="33" t="s">
        <v>22</v>
      </c>
      <c r="C33" s="97">
        <v>13</v>
      </c>
      <c r="D33" s="82">
        <f>13217704000/(1000)</f>
        <v>13217704</v>
      </c>
      <c r="E33" s="82">
        <f>4000136000/(1000)</f>
        <v>4000136</v>
      </c>
      <c r="F33" s="2"/>
    </row>
    <row r="34" spans="2:6" x14ac:dyDescent="0.25">
      <c r="B34" s="33" t="s">
        <v>95</v>
      </c>
      <c r="C34" s="97">
        <v>14</v>
      </c>
      <c r="D34" s="82">
        <f>8469614000/(1000)</f>
        <v>8469614</v>
      </c>
      <c r="E34" s="82">
        <f>0/(1000)</f>
        <v>0</v>
      </c>
      <c r="F34" s="2"/>
    </row>
    <row r="35" spans="2:6" x14ac:dyDescent="0.25">
      <c r="B35" s="33" t="s">
        <v>23</v>
      </c>
      <c r="C35" s="97"/>
      <c r="D35" s="82">
        <f>1770792000/(1000)</f>
        <v>1770792</v>
      </c>
      <c r="E35" s="82">
        <f>1869651000/(1000)</f>
        <v>1869651</v>
      </c>
      <c r="F35" s="2"/>
    </row>
    <row r="36" spans="2:6" x14ac:dyDescent="0.25">
      <c r="B36" s="33" t="s">
        <v>96</v>
      </c>
      <c r="C36" s="97"/>
      <c r="D36" s="82">
        <f>452912000/(1000)</f>
        <v>452912</v>
      </c>
      <c r="E36" s="82">
        <f>0/(1000)</f>
        <v>0</v>
      </c>
      <c r="F36" s="2"/>
    </row>
    <row r="37" spans="2:6" ht="15.75" thickBot="1" x14ac:dyDescent="0.3">
      <c r="B37" s="33" t="s">
        <v>24</v>
      </c>
      <c r="C37" s="97"/>
      <c r="D37" s="82">
        <f>3895392000/(1000)</f>
        <v>3895392</v>
      </c>
      <c r="E37" s="82">
        <f>3888782000/(1000)</f>
        <v>3888782</v>
      </c>
      <c r="F37" s="2"/>
    </row>
    <row r="38" spans="2:6" ht="15.75" thickBot="1" x14ac:dyDescent="0.3">
      <c r="B38" s="36"/>
      <c r="C38" s="100"/>
      <c r="D38" s="41">
        <f>(SUM(D33:D37))</f>
        <v>27806414</v>
      </c>
      <c r="E38" s="41">
        <f>(SUM(E33:E37))</f>
        <v>9758569</v>
      </c>
      <c r="F38" s="2"/>
    </row>
    <row r="39" spans="2:6" x14ac:dyDescent="0.25">
      <c r="B39" s="37"/>
      <c r="C39" s="110"/>
      <c r="D39" s="112"/>
      <c r="E39" s="112"/>
      <c r="F39" s="2"/>
    </row>
    <row r="40" spans="2:6" x14ac:dyDescent="0.25">
      <c r="B40" s="31" t="s">
        <v>25</v>
      </c>
      <c r="C40" s="111"/>
      <c r="D40" s="113"/>
      <c r="E40" s="113"/>
      <c r="F40" s="2"/>
    </row>
    <row r="41" spans="2:6" x14ac:dyDescent="0.25">
      <c r="B41" s="33" t="s">
        <v>22</v>
      </c>
      <c r="C41" s="97">
        <v>13</v>
      </c>
      <c r="D41" s="82">
        <f>9909338000/(1000)</f>
        <v>9909338</v>
      </c>
      <c r="E41" s="82">
        <f>16555389000/(1000)</f>
        <v>16555389</v>
      </c>
      <c r="F41" s="2"/>
    </row>
    <row r="42" spans="2:6" x14ac:dyDescent="0.25">
      <c r="B42" s="33" t="s">
        <v>97</v>
      </c>
      <c r="C42" s="97">
        <v>14</v>
      </c>
      <c r="D42" s="82">
        <f>323594000/(1000)</f>
        <v>323594</v>
      </c>
      <c r="E42" s="82">
        <f>0/(1000)</f>
        <v>0</v>
      </c>
      <c r="F42" s="2"/>
    </row>
    <row r="43" spans="2:6" x14ac:dyDescent="0.25">
      <c r="B43" s="33" t="s">
        <v>26</v>
      </c>
      <c r="C43" s="97">
        <v>15</v>
      </c>
      <c r="D43" s="82">
        <f>15955414000/(1000)</f>
        <v>15955414</v>
      </c>
      <c r="E43" s="82">
        <f>23719020000/(1000)</f>
        <v>23719020</v>
      </c>
      <c r="F43" s="2"/>
    </row>
    <row r="44" spans="2:6" x14ac:dyDescent="0.25">
      <c r="B44" s="33" t="s">
        <v>27</v>
      </c>
      <c r="C44" s="97">
        <v>16</v>
      </c>
      <c r="D44" s="82">
        <f>3376285000/(1000)</f>
        <v>3376285</v>
      </c>
      <c r="E44" s="82">
        <f>2523078000/(1000)</f>
        <v>2523078</v>
      </c>
      <c r="F44" s="2"/>
    </row>
    <row r="45" spans="2:6" x14ac:dyDescent="0.25">
      <c r="B45" s="33" t="s">
        <v>28</v>
      </c>
      <c r="C45" s="97"/>
      <c r="D45" s="82">
        <f>116203000/(1000)</f>
        <v>116203</v>
      </c>
      <c r="E45" s="82">
        <f>62904000/(1000)</f>
        <v>62904</v>
      </c>
      <c r="F45" s="2"/>
    </row>
    <row r="46" spans="2:6" x14ac:dyDescent="0.25">
      <c r="B46" s="33" t="s">
        <v>24</v>
      </c>
      <c r="C46" s="97"/>
      <c r="D46" s="82">
        <f>258137000/(1000)</f>
        <v>258137</v>
      </c>
      <c r="E46" s="82">
        <f>251682000/(1000)</f>
        <v>251682</v>
      </c>
      <c r="F46" s="2"/>
    </row>
    <row r="47" spans="2:6" x14ac:dyDescent="0.25">
      <c r="B47" s="33" t="s">
        <v>29</v>
      </c>
      <c r="C47" s="97">
        <v>17</v>
      </c>
      <c r="D47" s="82">
        <f>5497171000/(1000)</f>
        <v>5497171</v>
      </c>
      <c r="E47" s="82">
        <f>1394651000/(1000)</f>
        <v>1394651</v>
      </c>
      <c r="F47" s="2"/>
    </row>
    <row r="48" spans="2:6" ht="15.75" thickBot="1" x14ac:dyDescent="0.3">
      <c r="B48" s="33" t="s">
        <v>30</v>
      </c>
      <c r="C48" s="97">
        <v>18</v>
      </c>
      <c r="D48" s="82">
        <f>1119380000/(1000)</f>
        <v>1119380</v>
      </c>
      <c r="E48" s="82">
        <f>1084357000/(1000)</f>
        <v>1084357</v>
      </c>
      <c r="F48" s="2"/>
    </row>
    <row r="49" spans="2:6" ht="15.75" thickBot="1" x14ac:dyDescent="0.3">
      <c r="B49" s="36"/>
      <c r="C49" s="41"/>
      <c r="D49" s="41">
        <f>SUM(D41:D48)</f>
        <v>36555522</v>
      </c>
      <c r="E49" s="41">
        <f>SUM(E41:E48)</f>
        <v>45591081</v>
      </c>
      <c r="F49" s="2"/>
    </row>
    <row r="50" spans="2:6" ht="15.75" thickBot="1" x14ac:dyDescent="0.3">
      <c r="B50" s="43" t="s">
        <v>31</v>
      </c>
      <c r="C50" s="44"/>
      <c r="D50" s="44">
        <f>SUM(D49,D38)</f>
        <v>64361936</v>
      </c>
      <c r="E50" s="44">
        <f>SUM(E49,E38)</f>
        <v>55349650</v>
      </c>
      <c r="F50" s="2"/>
    </row>
    <row r="51" spans="2:6" ht="15.75" thickBot="1" x14ac:dyDescent="0.3">
      <c r="B51" s="39" t="s">
        <v>32</v>
      </c>
      <c r="C51" s="40"/>
      <c r="D51" s="83">
        <f>SUM(D50,D30)</f>
        <v>149263411</v>
      </c>
      <c r="E51" s="83">
        <f>SUM(E50,E30)</f>
        <v>129142341</v>
      </c>
      <c r="F51" s="2"/>
    </row>
    <row r="52" spans="2:6" ht="16.5" thickTop="1" thickBot="1" x14ac:dyDescent="0.3">
      <c r="B52" s="43"/>
      <c r="C52" s="29"/>
      <c r="D52" s="29">
        <f>D24-D51</f>
        <v>0</v>
      </c>
      <c r="E52" s="29">
        <f>E24-E51</f>
        <v>0</v>
      </c>
      <c r="F52" s="2"/>
    </row>
    <row r="53" spans="2:6" x14ac:dyDescent="0.25">
      <c r="B53" s="103" t="s">
        <v>113</v>
      </c>
      <c r="C53" s="106"/>
      <c r="D53" s="106">
        <v>1457</v>
      </c>
      <c r="E53" s="106">
        <v>1280</v>
      </c>
      <c r="F53" s="2"/>
    </row>
    <row r="54" spans="2:6" ht="15.75" thickBot="1" x14ac:dyDescent="0.3">
      <c r="B54" s="104"/>
      <c r="C54" s="107"/>
      <c r="D54" s="107"/>
      <c r="E54" s="107"/>
    </row>
    <row r="55" spans="2:6" ht="15.75" thickTop="1" x14ac:dyDescent="0.25">
      <c r="B55" s="46"/>
      <c r="C55" s="46"/>
      <c r="D55" s="46"/>
      <c r="E55" s="46"/>
    </row>
    <row r="56" spans="2:6" s="101" customFormat="1" ht="17.25" customHeight="1" x14ac:dyDescent="0.25">
      <c r="B56" s="102"/>
      <c r="D56" s="105"/>
      <c r="E56" s="105"/>
    </row>
    <row r="57" spans="2:6" s="101" customFormat="1" ht="21" customHeight="1" x14ac:dyDescent="0.25">
      <c r="B57" s="102"/>
      <c r="D57" s="105"/>
      <c r="E57" s="105"/>
    </row>
    <row r="58" spans="2:6" x14ac:dyDescent="0.25">
      <c r="F58" s="2"/>
    </row>
    <row r="59" spans="2:6" x14ac:dyDescent="0.25">
      <c r="F59" s="2"/>
    </row>
    <row r="60" spans="2:6" x14ac:dyDescent="0.25">
      <c r="F60" s="2"/>
    </row>
    <row r="61" spans="2:6" x14ac:dyDescent="0.25">
      <c r="F61" s="2"/>
    </row>
    <row r="62" spans="2:6" x14ac:dyDescent="0.25">
      <c r="F62" s="2"/>
    </row>
    <row r="63" spans="2:6" x14ac:dyDescent="0.25">
      <c r="F63" s="2"/>
    </row>
    <row r="64" spans="2:6" x14ac:dyDescent="0.25">
      <c r="F64" s="2"/>
    </row>
    <row r="65" spans="2:6" x14ac:dyDescent="0.25">
      <c r="F65" s="2"/>
    </row>
    <row r="66" spans="2:6" x14ac:dyDescent="0.25">
      <c r="F66" s="2"/>
    </row>
    <row r="67" spans="2:6" x14ac:dyDescent="0.25">
      <c r="F67" s="2"/>
    </row>
    <row r="68" spans="2:6" x14ac:dyDescent="0.25">
      <c r="F68" s="2"/>
    </row>
    <row r="69" spans="2:6" x14ac:dyDescent="0.25">
      <c r="F69" s="2"/>
    </row>
    <row r="70" spans="2:6" x14ac:dyDescent="0.25">
      <c r="F70" s="2"/>
    </row>
    <row r="71" spans="2:6" x14ac:dyDescent="0.25">
      <c r="F71" s="2"/>
    </row>
    <row r="72" spans="2:6" x14ac:dyDescent="0.25">
      <c r="F72" s="2"/>
    </row>
    <row r="73" spans="2:6" x14ac:dyDescent="0.25">
      <c r="F73" s="2"/>
    </row>
    <row r="74" spans="2:6" x14ac:dyDescent="0.25">
      <c r="F74" s="2"/>
    </row>
    <row r="75" spans="2:6" x14ac:dyDescent="0.25">
      <c r="F75" s="2"/>
    </row>
    <row r="76" spans="2:6" x14ac:dyDescent="0.25">
      <c r="B76" s="3"/>
    </row>
    <row r="77" spans="2:6" x14ac:dyDescent="0.25">
      <c r="B77" s="3"/>
    </row>
    <row r="78" spans="2:6" x14ac:dyDescent="0.25">
      <c r="B78" s="3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2:7" x14ac:dyDescent="0.25">
      <c r="F129" s="2"/>
    </row>
    <row r="130" spans="2:7" x14ac:dyDescent="0.25">
      <c r="F130" s="2"/>
    </row>
    <row r="135" spans="2:7" x14ac:dyDescent="0.25">
      <c r="G135" s="2"/>
    </row>
    <row r="136" spans="2:7" x14ac:dyDescent="0.25">
      <c r="G136" s="2"/>
    </row>
    <row r="137" spans="2:7" x14ac:dyDescent="0.25">
      <c r="G137" s="2"/>
    </row>
    <row r="138" spans="2:7" x14ac:dyDescent="0.25">
      <c r="G138" s="2"/>
    </row>
    <row r="139" spans="2:7" x14ac:dyDescent="0.25">
      <c r="G139" s="2"/>
    </row>
    <row r="140" spans="2:7" x14ac:dyDescent="0.25">
      <c r="G140" s="2"/>
    </row>
    <row r="141" spans="2:7" x14ac:dyDescent="0.25">
      <c r="B141" s="3"/>
      <c r="C141" s="2"/>
      <c r="D141" s="2"/>
      <c r="E141" s="2"/>
      <c r="F141" s="2"/>
    </row>
  </sheetData>
  <mergeCells count="10">
    <mergeCell ref="B53:B54"/>
    <mergeCell ref="D56:E56"/>
    <mergeCell ref="D57:E57"/>
    <mergeCell ref="E53:E54"/>
    <mergeCell ref="C13:C14"/>
    <mergeCell ref="C39:C40"/>
    <mergeCell ref="D39:D40"/>
    <mergeCell ref="C53:C54"/>
    <mergeCell ref="D53:D54"/>
    <mergeCell ref="E39:E40"/>
  </mergeCells>
  <pageMargins left="0.70866141732283472" right="0.70866141732283472" top="0" bottom="0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8"/>
  <sheetViews>
    <sheetView workbookViewId="0">
      <selection activeCell="B1" sqref="B1"/>
    </sheetView>
  </sheetViews>
  <sheetFormatPr defaultRowHeight="15" x14ac:dyDescent="0.25"/>
  <cols>
    <col min="1" max="1" width="6.7109375" customWidth="1"/>
    <col min="2" max="2" width="58.140625" customWidth="1"/>
    <col min="3" max="3" width="11.28515625" customWidth="1"/>
    <col min="4" max="4" width="21.5703125" customWidth="1"/>
    <col min="5" max="5" width="15" bestFit="1" customWidth="1"/>
  </cols>
  <sheetData>
    <row r="2" spans="2:5" ht="15.75" x14ac:dyDescent="0.25">
      <c r="B2" s="87" t="s">
        <v>76</v>
      </c>
      <c r="C2" s="1"/>
      <c r="D2" s="1"/>
    </row>
    <row r="3" spans="2:5" s="14" customFormat="1" ht="15.75" thickBot="1" x14ac:dyDescent="0.3">
      <c r="B3" s="10" t="s">
        <v>83</v>
      </c>
      <c r="C3" s="19" t="s">
        <v>82</v>
      </c>
      <c r="D3" s="30" t="s">
        <v>104</v>
      </c>
      <c r="E3" s="68" t="s">
        <v>105</v>
      </c>
    </row>
    <row r="4" spans="2:5" s="14" customFormat="1" x14ac:dyDescent="0.25">
      <c r="B4" s="11" t="s">
        <v>33</v>
      </c>
      <c r="C4" s="17">
        <v>19</v>
      </c>
      <c r="D4" s="48">
        <v>71485175</v>
      </c>
      <c r="E4" s="49">
        <v>56891770</v>
      </c>
    </row>
    <row r="5" spans="2:5" s="14" customFormat="1" ht="15.75" thickBot="1" x14ac:dyDescent="0.3">
      <c r="B5" s="9" t="s">
        <v>34</v>
      </c>
      <c r="C5" s="20">
        <v>20</v>
      </c>
      <c r="D5" s="48">
        <v>-67574714</v>
      </c>
      <c r="E5" s="50">
        <v>-53251856</v>
      </c>
    </row>
    <row r="6" spans="2:5" s="14" customFormat="1" x14ac:dyDescent="0.25">
      <c r="B6" s="12" t="s">
        <v>35</v>
      </c>
      <c r="C6" s="13"/>
      <c r="D6" s="51">
        <f>SUM(D4:D5)</f>
        <v>3910461</v>
      </c>
      <c r="E6" s="52">
        <f>SUM(E4:E5)</f>
        <v>3639914</v>
      </c>
    </row>
    <row r="7" spans="2:5" s="14" customFormat="1" x14ac:dyDescent="0.25">
      <c r="B7" s="11" t="s">
        <v>36</v>
      </c>
      <c r="C7" s="17"/>
      <c r="D7" s="53"/>
      <c r="E7" s="54"/>
    </row>
    <row r="8" spans="2:5" s="14" customFormat="1" x14ac:dyDescent="0.25">
      <c r="B8" s="11" t="s">
        <v>37</v>
      </c>
      <c r="C8" s="17">
        <v>21</v>
      </c>
      <c r="D8" s="48">
        <v>-3004465</v>
      </c>
      <c r="E8" s="49">
        <v>-2171719</v>
      </c>
    </row>
    <row r="9" spans="2:5" s="14" customFormat="1" x14ac:dyDescent="0.25">
      <c r="B9" s="11" t="s">
        <v>38</v>
      </c>
      <c r="C9" s="17">
        <v>22</v>
      </c>
      <c r="D9" s="48">
        <v>1719123</v>
      </c>
      <c r="E9" s="49">
        <v>1365722</v>
      </c>
    </row>
    <row r="10" spans="2:5" s="14" customFormat="1" ht="15.75" thickBot="1" x14ac:dyDescent="0.3">
      <c r="B10" s="11" t="s">
        <v>39</v>
      </c>
      <c r="C10" s="17">
        <v>22</v>
      </c>
      <c r="D10" s="48">
        <v>-892762</v>
      </c>
      <c r="E10" s="49">
        <v>-734292</v>
      </c>
    </row>
    <row r="11" spans="2:5" s="14" customFormat="1" x14ac:dyDescent="0.25">
      <c r="B11" s="6" t="s">
        <v>40</v>
      </c>
      <c r="C11" s="21"/>
      <c r="D11" s="51">
        <f>SUM(D6:D10)</f>
        <v>1732357</v>
      </c>
      <c r="E11" s="52">
        <f>SUM(E6:E10)</f>
        <v>2099625</v>
      </c>
    </row>
    <row r="12" spans="2:5" s="14" customFormat="1" x14ac:dyDescent="0.25">
      <c r="B12" s="11" t="s">
        <v>36</v>
      </c>
      <c r="C12" s="17"/>
      <c r="D12" s="53"/>
      <c r="E12" s="54"/>
    </row>
    <row r="13" spans="2:5" s="14" customFormat="1" x14ac:dyDescent="0.25">
      <c r="B13" s="11" t="s">
        <v>84</v>
      </c>
      <c r="C13" s="17"/>
      <c r="D13" s="48">
        <v>-23682</v>
      </c>
      <c r="E13" s="49">
        <v>-7930</v>
      </c>
    </row>
    <row r="14" spans="2:5" s="14" customFormat="1" x14ac:dyDescent="0.25">
      <c r="B14" s="11" t="s">
        <v>41</v>
      </c>
      <c r="C14" s="17"/>
      <c r="D14" s="48">
        <v>272391</v>
      </c>
      <c r="E14" s="49">
        <v>236040</v>
      </c>
    </row>
    <row r="15" spans="2:5" s="14" customFormat="1" ht="15.75" thickBot="1" x14ac:dyDescent="0.3">
      <c r="B15" s="9" t="s">
        <v>42</v>
      </c>
      <c r="C15" s="20">
        <v>23</v>
      </c>
      <c r="D15" s="55">
        <v>-1181868</v>
      </c>
      <c r="E15" s="50">
        <v>-279640</v>
      </c>
    </row>
    <row r="16" spans="2:5" s="14" customFormat="1" x14ac:dyDescent="0.25">
      <c r="B16" s="5" t="s">
        <v>43</v>
      </c>
      <c r="C16" s="13"/>
      <c r="D16" s="51">
        <f>SUM(D11:D15)</f>
        <v>799198</v>
      </c>
      <c r="E16" s="52">
        <f>SUM(E11:E15)</f>
        <v>2048095</v>
      </c>
    </row>
    <row r="17" spans="2:5" s="14" customFormat="1" x14ac:dyDescent="0.25">
      <c r="B17" s="11" t="s">
        <v>36</v>
      </c>
      <c r="C17" s="17"/>
      <c r="D17" s="53"/>
      <c r="E17" s="54"/>
    </row>
    <row r="18" spans="2:5" s="14" customFormat="1" ht="15.75" thickBot="1" x14ac:dyDescent="0.3">
      <c r="B18" s="9" t="s">
        <v>44</v>
      </c>
      <c r="C18" s="20">
        <v>24</v>
      </c>
      <c r="D18" s="55">
        <v>-139339</v>
      </c>
      <c r="E18" s="50">
        <v>-309887</v>
      </c>
    </row>
    <row r="19" spans="2:5" s="14" customFormat="1" ht="15.75" thickBot="1" x14ac:dyDescent="0.3">
      <c r="B19" s="7" t="s">
        <v>45</v>
      </c>
      <c r="C19" s="19"/>
      <c r="D19" s="91">
        <f>SUM(D16:D18)</f>
        <v>659859</v>
      </c>
      <c r="E19" s="91">
        <f>SUM(E16:E18)</f>
        <v>1738208</v>
      </c>
    </row>
    <row r="20" spans="2:5" s="14" customFormat="1" ht="15.75" thickBot="1" x14ac:dyDescent="0.3">
      <c r="B20" s="7" t="s">
        <v>85</v>
      </c>
      <c r="C20" s="19"/>
      <c r="D20" s="91">
        <f>D19</f>
        <v>659859</v>
      </c>
      <c r="E20" s="91">
        <f>E19</f>
        <v>1738208</v>
      </c>
    </row>
    <row r="21" spans="2:5" s="14" customFormat="1" x14ac:dyDescent="0.25">
      <c r="B21" s="5"/>
      <c r="C21" s="6"/>
      <c r="D21" s="93"/>
      <c r="E21" s="94"/>
    </row>
    <row r="22" spans="2:5" s="14" customFormat="1" ht="15.75" thickBot="1" x14ac:dyDescent="0.3">
      <c r="B22" s="7" t="s">
        <v>80</v>
      </c>
      <c r="C22" s="7"/>
      <c r="D22" s="84">
        <v>1.15E-2</v>
      </c>
      <c r="E22" s="92">
        <v>3.7499999999999999E-2</v>
      </c>
    </row>
    <row r="23" spans="2:5" s="14" customFormat="1" x14ac:dyDescent="0.25">
      <c r="B23" s="5"/>
      <c r="C23" s="15"/>
      <c r="D23" s="93"/>
      <c r="E23" s="94"/>
    </row>
    <row r="24" spans="2:5" s="14" customFormat="1" ht="15.75" thickBot="1" x14ac:dyDescent="0.3">
      <c r="B24" s="7" t="s">
        <v>81</v>
      </c>
      <c r="C24" s="7"/>
      <c r="D24" s="84">
        <v>1.15E-2</v>
      </c>
      <c r="E24" s="92">
        <v>3.7499999999999999E-2</v>
      </c>
    </row>
    <row r="25" spans="2:5" s="14" customFormat="1" x14ac:dyDescent="0.25">
      <c r="B25" s="15"/>
      <c r="C25" s="15"/>
      <c r="D25" s="16"/>
      <c r="E25" s="18"/>
    </row>
    <row r="26" spans="2:5" ht="17.25" customHeight="1" x14ac:dyDescent="0.25">
      <c r="B26" s="102"/>
      <c r="D26" s="105"/>
      <c r="E26" s="105"/>
    </row>
    <row r="27" spans="2:5" ht="21" customHeight="1" x14ac:dyDescent="0.25">
      <c r="B27" s="102"/>
      <c r="D27" s="105"/>
      <c r="E27" s="105"/>
    </row>
    <row r="28" spans="2:5" x14ac:dyDescent="0.25">
      <c r="B28" s="4"/>
      <c r="D28" s="4"/>
    </row>
  </sheetData>
  <mergeCells count="2">
    <mergeCell ref="D26:E26"/>
    <mergeCell ref="D27:E2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workbookViewId="0">
      <selection activeCell="F14" sqref="F14"/>
    </sheetView>
  </sheetViews>
  <sheetFormatPr defaultRowHeight="15" x14ac:dyDescent="0.25"/>
  <cols>
    <col min="1" max="1" width="9.140625" style="56"/>
    <col min="2" max="2" width="91.5703125" style="56" customWidth="1"/>
    <col min="3" max="3" width="12.7109375" style="56" hidden="1" customWidth="1"/>
    <col min="4" max="4" width="14.85546875" style="56" customWidth="1"/>
    <col min="5" max="5" width="14.28515625" style="56" bestFit="1" customWidth="1"/>
    <col min="6" max="16384" width="9.140625" style="56"/>
  </cols>
  <sheetData>
    <row r="2" spans="2:5" ht="15.75" x14ac:dyDescent="0.25">
      <c r="B2" s="88" t="s">
        <v>77</v>
      </c>
      <c r="C2" s="1"/>
      <c r="D2" s="1"/>
    </row>
    <row r="3" spans="2:5" ht="15.75" thickBot="1" x14ac:dyDescent="0.3">
      <c r="B3" s="28" t="s">
        <v>83</v>
      </c>
      <c r="C3" s="29" t="s">
        <v>82</v>
      </c>
      <c r="D3" s="30" t="s">
        <v>104</v>
      </c>
      <c r="E3" s="68" t="s">
        <v>105</v>
      </c>
    </row>
    <row r="4" spans="2:5" x14ac:dyDescent="0.25">
      <c r="B4" s="38" t="s">
        <v>46</v>
      </c>
      <c r="C4" s="42"/>
      <c r="D4" s="38"/>
      <c r="E4" s="33"/>
    </row>
    <row r="5" spans="2:5" x14ac:dyDescent="0.25">
      <c r="B5" s="33" t="s">
        <v>43</v>
      </c>
      <c r="C5" s="42"/>
      <c r="D5" s="61">
        <v>799198</v>
      </c>
      <c r="E5" s="62">
        <v>2048095</v>
      </c>
    </row>
    <row r="6" spans="2:5" x14ac:dyDescent="0.25">
      <c r="B6" s="38" t="s">
        <v>47</v>
      </c>
      <c r="C6" s="42"/>
      <c r="D6" s="38"/>
      <c r="E6" s="33"/>
    </row>
    <row r="7" spans="2:5" x14ac:dyDescent="0.25">
      <c r="B7" s="33" t="s">
        <v>48</v>
      </c>
      <c r="C7" s="42" t="s">
        <v>86</v>
      </c>
      <c r="D7" s="61">
        <v>2214613</v>
      </c>
      <c r="E7" s="62">
        <v>1678797</v>
      </c>
    </row>
    <row r="8" spans="2:5" x14ac:dyDescent="0.25">
      <c r="B8" s="33" t="s">
        <v>87</v>
      </c>
      <c r="C8" s="42"/>
      <c r="D8" s="61">
        <v>909477</v>
      </c>
      <c r="E8" s="62">
        <v>43600</v>
      </c>
    </row>
    <row r="9" spans="2:5" x14ac:dyDescent="0.25">
      <c r="B9" s="33" t="s">
        <v>88</v>
      </c>
      <c r="C9" s="113">
        <v>23</v>
      </c>
      <c r="D9" s="115">
        <v>404359</v>
      </c>
      <c r="E9" s="117">
        <v>123704</v>
      </c>
    </row>
    <row r="10" spans="2:5" x14ac:dyDescent="0.25">
      <c r="B10" s="33" t="s">
        <v>49</v>
      </c>
      <c r="C10" s="113"/>
      <c r="D10" s="115"/>
      <c r="E10" s="117"/>
    </row>
    <row r="11" spans="2:5" x14ac:dyDescent="0.25">
      <c r="B11" s="33" t="s">
        <v>89</v>
      </c>
      <c r="C11" s="42"/>
      <c r="D11" s="60">
        <v>-2929</v>
      </c>
      <c r="E11" s="63">
        <v>23534</v>
      </c>
    </row>
    <row r="12" spans="2:5" x14ac:dyDescent="0.25">
      <c r="B12" s="33" t="s">
        <v>50</v>
      </c>
      <c r="C12" s="42"/>
      <c r="D12" s="60">
        <v>-136507</v>
      </c>
      <c r="E12" s="63">
        <v>-16108</v>
      </c>
    </row>
    <row r="13" spans="2:5" x14ac:dyDescent="0.25">
      <c r="B13" s="33" t="s">
        <v>51</v>
      </c>
      <c r="C13" s="42">
        <v>16</v>
      </c>
      <c r="D13" s="60">
        <v>-127103</v>
      </c>
      <c r="E13" s="63">
        <v>-98639</v>
      </c>
    </row>
    <row r="14" spans="2:5" x14ac:dyDescent="0.25">
      <c r="B14" s="33" t="s">
        <v>90</v>
      </c>
      <c r="C14" s="42">
        <v>23</v>
      </c>
      <c r="D14" s="60">
        <v>179800</v>
      </c>
      <c r="E14" s="33">
        <v>0</v>
      </c>
    </row>
    <row r="15" spans="2:5" x14ac:dyDescent="0.25">
      <c r="B15" s="33" t="s">
        <v>52</v>
      </c>
      <c r="C15" s="42"/>
      <c r="D15" s="60">
        <v>181776</v>
      </c>
      <c r="E15" s="33">
        <v>0</v>
      </c>
    </row>
    <row r="16" spans="2:5" ht="15.75" thickBot="1" x14ac:dyDescent="0.3">
      <c r="B16" s="57" t="s">
        <v>53</v>
      </c>
      <c r="C16" s="44">
        <v>23</v>
      </c>
      <c r="D16" s="64">
        <v>-1064</v>
      </c>
      <c r="E16" s="57">
        <v>0</v>
      </c>
    </row>
    <row r="17" spans="2:5" x14ac:dyDescent="0.25">
      <c r="B17" s="38" t="s">
        <v>54</v>
      </c>
      <c r="C17" s="42"/>
      <c r="D17" s="38">
        <f>SUM(D5:D16)</f>
        <v>4421620</v>
      </c>
      <c r="E17" s="33">
        <f>SUM(E5:E16)</f>
        <v>3802983</v>
      </c>
    </row>
    <row r="18" spans="2:5" x14ac:dyDescent="0.25">
      <c r="B18" s="33" t="s">
        <v>55</v>
      </c>
      <c r="C18" s="42"/>
      <c r="D18" s="38"/>
      <c r="E18" s="33"/>
    </row>
    <row r="19" spans="2:5" x14ac:dyDescent="0.25">
      <c r="B19" s="33" t="s">
        <v>8</v>
      </c>
      <c r="C19" s="42"/>
      <c r="D19" s="61">
        <v>710559</v>
      </c>
      <c r="E19" s="62">
        <v>5503613</v>
      </c>
    </row>
    <row r="20" spans="2:5" x14ac:dyDescent="0.25">
      <c r="B20" s="33" t="s">
        <v>9</v>
      </c>
      <c r="C20" s="42"/>
      <c r="D20" s="61">
        <v>2450196</v>
      </c>
      <c r="E20" s="62">
        <v>-1135173</v>
      </c>
    </row>
    <row r="21" spans="2:5" x14ac:dyDescent="0.25">
      <c r="B21" s="33" t="s">
        <v>10</v>
      </c>
      <c r="C21" s="42"/>
      <c r="D21" s="61">
        <v>1532003</v>
      </c>
      <c r="E21" s="62">
        <v>-24170</v>
      </c>
    </row>
    <row r="22" spans="2:5" x14ac:dyDescent="0.25">
      <c r="B22" s="33" t="s">
        <v>56</v>
      </c>
      <c r="C22" s="42"/>
      <c r="D22" s="61">
        <v>2100853</v>
      </c>
      <c r="E22" s="62">
        <v>3272691</v>
      </c>
    </row>
    <row r="23" spans="2:5" x14ac:dyDescent="0.25">
      <c r="B23" s="33" t="s">
        <v>13</v>
      </c>
      <c r="C23" s="42"/>
      <c r="D23" s="61">
        <v>-459310</v>
      </c>
      <c r="E23" s="62">
        <v>144793</v>
      </c>
    </row>
    <row r="24" spans="2:5" x14ac:dyDescent="0.25">
      <c r="B24" s="33" t="s">
        <v>57</v>
      </c>
      <c r="C24" s="42"/>
      <c r="D24" s="38"/>
      <c r="E24" s="33"/>
    </row>
    <row r="25" spans="2:5" x14ac:dyDescent="0.25">
      <c r="B25" s="33" t="s">
        <v>26</v>
      </c>
      <c r="C25" s="42"/>
      <c r="D25" s="61">
        <v>-8573140</v>
      </c>
      <c r="E25" s="62">
        <v>-1648352</v>
      </c>
    </row>
    <row r="26" spans="2:5" x14ac:dyDescent="0.25">
      <c r="B26" s="33" t="s">
        <v>27</v>
      </c>
      <c r="C26" s="42"/>
      <c r="D26" s="61">
        <v>853207</v>
      </c>
      <c r="E26" s="62">
        <v>192075</v>
      </c>
    </row>
    <row r="27" spans="2:5" x14ac:dyDescent="0.25">
      <c r="B27" s="33" t="s">
        <v>28</v>
      </c>
      <c r="C27" s="42"/>
      <c r="D27" s="61">
        <v>53299</v>
      </c>
      <c r="E27" s="62">
        <v>-842776</v>
      </c>
    </row>
    <row r="28" spans="2:5" ht="15.75" thickBot="1" x14ac:dyDescent="0.3">
      <c r="B28" s="57" t="s">
        <v>30</v>
      </c>
      <c r="C28" s="44"/>
      <c r="D28" s="65">
        <v>4010694</v>
      </c>
      <c r="E28" s="66">
        <v>-389561</v>
      </c>
    </row>
    <row r="29" spans="2:5" x14ac:dyDescent="0.25">
      <c r="B29" s="38" t="s">
        <v>58</v>
      </c>
      <c r="C29" s="42"/>
      <c r="D29" s="38">
        <f>SUM(D17:D28)</f>
        <v>7099981</v>
      </c>
      <c r="E29" s="33">
        <f>SUM(E17:E28)</f>
        <v>8876123</v>
      </c>
    </row>
    <row r="30" spans="2:5" x14ac:dyDescent="0.25">
      <c r="B30" s="33" t="s">
        <v>59</v>
      </c>
      <c r="C30" s="42"/>
      <c r="D30" s="61">
        <v>-576508</v>
      </c>
      <c r="E30" s="62">
        <v>-278241</v>
      </c>
    </row>
    <row r="31" spans="2:5" x14ac:dyDescent="0.25">
      <c r="B31" s="33" t="s">
        <v>60</v>
      </c>
      <c r="C31" s="42"/>
      <c r="D31" s="61">
        <v>-336810</v>
      </c>
      <c r="E31" s="62">
        <v>-403375</v>
      </c>
    </row>
    <row r="32" spans="2:5" ht="15.75" thickBot="1" x14ac:dyDescent="0.3">
      <c r="B32" s="57" t="s">
        <v>61</v>
      </c>
      <c r="C32" s="44"/>
      <c r="D32" s="65">
        <v>343747</v>
      </c>
      <c r="E32" s="66">
        <v>710</v>
      </c>
    </row>
    <row r="33" spans="2:5" ht="15.75" thickBot="1" x14ac:dyDescent="0.3">
      <c r="B33" s="43" t="s">
        <v>62</v>
      </c>
      <c r="C33" s="44"/>
      <c r="D33" s="43">
        <f>SUM(D29:D32)</f>
        <v>6530410</v>
      </c>
      <c r="E33" s="57">
        <f>SUM(E29:E32)</f>
        <v>8195217</v>
      </c>
    </row>
    <row r="34" spans="2:5" x14ac:dyDescent="0.25">
      <c r="B34" s="38"/>
      <c r="C34" s="112"/>
      <c r="D34" s="114"/>
      <c r="E34" s="116"/>
    </row>
    <row r="35" spans="2:5" x14ac:dyDescent="0.25">
      <c r="B35" s="38" t="s">
        <v>63</v>
      </c>
      <c r="C35" s="113"/>
      <c r="D35" s="115"/>
      <c r="E35" s="117"/>
    </row>
    <row r="36" spans="2:5" x14ac:dyDescent="0.25">
      <c r="B36" s="33" t="s">
        <v>64</v>
      </c>
      <c r="C36" s="42"/>
      <c r="D36" s="61">
        <v>-32864</v>
      </c>
      <c r="E36" s="62">
        <v>-190</v>
      </c>
    </row>
    <row r="37" spans="2:5" x14ac:dyDescent="0.25">
      <c r="B37" s="47" t="s">
        <v>98</v>
      </c>
      <c r="C37" s="42"/>
      <c r="D37" s="61">
        <v>-13660903</v>
      </c>
      <c r="E37" s="62">
        <v>-5944402</v>
      </c>
    </row>
    <row r="38" spans="2:5" x14ac:dyDescent="0.25">
      <c r="B38" s="47" t="s">
        <v>99</v>
      </c>
      <c r="C38" s="42"/>
      <c r="D38" s="60">
        <v>-93062</v>
      </c>
      <c r="E38" s="62">
        <v>0</v>
      </c>
    </row>
    <row r="39" spans="2:5" x14ac:dyDescent="0.25">
      <c r="B39" s="33" t="s">
        <v>65</v>
      </c>
      <c r="C39" s="42"/>
      <c r="D39" s="61">
        <v>-1440918</v>
      </c>
      <c r="E39" s="62">
        <v>-2815938</v>
      </c>
    </row>
    <row r="40" spans="2:5" x14ac:dyDescent="0.25">
      <c r="B40" s="47" t="s">
        <v>100</v>
      </c>
      <c r="C40" s="42"/>
      <c r="D40" s="60">
        <v>-3162311</v>
      </c>
      <c r="E40" s="63">
        <v>-30133</v>
      </c>
    </row>
    <row r="41" spans="2:5" ht="15.75" thickBot="1" x14ac:dyDescent="0.3">
      <c r="B41" s="33" t="s">
        <v>66</v>
      </c>
      <c r="C41" s="42"/>
      <c r="D41" s="60">
        <v>490839</v>
      </c>
      <c r="E41" s="33">
        <v>0</v>
      </c>
    </row>
    <row r="42" spans="2:5" ht="15.75" thickBot="1" x14ac:dyDescent="0.3">
      <c r="B42" s="36" t="s">
        <v>67</v>
      </c>
      <c r="C42" s="41"/>
      <c r="D42" s="36">
        <f>SUM(D36:D41)</f>
        <v>-17899219</v>
      </c>
      <c r="E42" s="34">
        <f>SUM(E36:E41)</f>
        <v>-8790663</v>
      </c>
    </row>
    <row r="43" spans="2:5" x14ac:dyDescent="0.25">
      <c r="B43" s="38"/>
      <c r="C43" s="112"/>
      <c r="D43" s="114"/>
      <c r="E43" s="116"/>
    </row>
    <row r="44" spans="2:5" x14ac:dyDescent="0.25">
      <c r="B44" s="38" t="s">
        <v>68</v>
      </c>
      <c r="C44" s="113"/>
      <c r="D44" s="115"/>
      <c r="E44" s="117"/>
    </row>
    <row r="45" spans="2:5" x14ac:dyDescent="0.25">
      <c r="B45" s="33" t="s">
        <v>69</v>
      </c>
      <c r="C45" s="42"/>
      <c r="D45" s="61">
        <v>20971299</v>
      </c>
      <c r="E45" s="62">
        <v>32299258</v>
      </c>
    </row>
    <row r="46" spans="2:5" x14ac:dyDescent="0.25">
      <c r="B46" s="47" t="s">
        <v>101</v>
      </c>
      <c r="C46" s="42"/>
      <c r="D46" s="60">
        <v>8455124</v>
      </c>
      <c r="E46" s="62"/>
    </row>
    <row r="47" spans="2:5" x14ac:dyDescent="0.25">
      <c r="B47" s="33" t="s">
        <v>70</v>
      </c>
      <c r="C47" s="42"/>
      <c r="D47" s="61">
        <v>-18653969</v>
      </c>
      <c r="E47" s="62">
        <v>-32937121</v>
      </c>
    </row>
    <row r="48" spans="2:5" x14ac:dyDescent="0.25">
      <c r="B48" s="47" t="s">
        <v>102</v>
      </c>
      <c r="C48" s="42"/>
      <c r="D48" s="60">
        <v>-837709</v>
      </c>
      <c r="E48" s="62">
        <v>0</v>
      </c>
    </row>
    <row r="49" spans="2:5" ht="15.75" thickBot="1" x14ac:dyDescent="0.3">
      <c r="B49" s="33" t="s">
        <v>71</v>
      </c>
      <c r="C49" s="44">
        <v>13</v>
      </c>
      <c r="D49" s="64">
        <v>671501</v>
      </c>
      <c r="E49" s="67">
        <v>88304</v>
      </c>
    </row>
    <row r="50" spans="2:5" ht="15.75" thickBot="1" x14ac:dyDescent="0.3">
      <c r="B50" s="36" t="s">
        <v>72</v>
      </c>
      <c r="C50" s="44"/>
      <c r="D50" s="43">
        <f>SUM(D45:D49)</f>
        <v>10606246</v>
      </c>
      <c r="E50" s="57">
        <f>SUM(E45:E49)</f>
        <v>-549559</v>
      </c>
    </row>
    <row r="51" spans="2:5" x14ac:dyDescent="0.25">
      <c r="B51" s="38" t="s">
        <v>36</v>
      </c>
      <c r="C51" s="42"/>
      <c r="D51" s="38"/>
      <c r="E51" s="33"/>
    </row>
    <row r="52" spans="2:5" x14ac:dyDescent="0.25">
      <c r="B52" s="38" t="s">
        <v>73</v>
      </c>
      <c r="C52" s="42"/>
      <c r="D52" s="38">
        <f>SUM(D50,D42,D33)</f>
        <v>-762563</v>
      </c>
      <c r="E52" s="33">
        <f>SUM(E50,E42,E33)</f>
        <v>-1145005</v>
      </c>
    </row>
    <row r="53" spans="2:5" x14ac:dyDescent="0.25">
      <c r="B53" s="4" t="s">
        <v>103</v>
      </c>
      <c r="C53" s="42"/>
      <c r="D53" s="38">
        <v>0</v>
      </c>
      <c r="E53" s="33">
        <v>-603</v>
      </c>
    </row>
    <row r="54" spans="2:5" ht="15.75" thickBot="1" x14ac:dyDescent="0.3">
      <c r="B54" s="43" t="s">
        <v>91</v>
      </c>
      <c r="C54" s="44"/>
      <c r="D54" s="43">
        <v>1943773</v>
      </c>
      <c r="E54" s="57">
        <v>2516375</v>
      </c>
    </row>
    <row r="55" spans="2:5" ht="15.75" thickBot="1" x14ac:dyDescent="0.3">
      <c r="B55" s="45" t="s">
        <v>112</v>
      </c>
      <c r="C55" s="58">
        <v>11</v>
      </c>
      <c r="D55" s="45">
        <f>SUM(D52:D54)</f>
        <v>1181210</v>
      </c>
      <c r="E55" s="59">
        <f>SUM(E52:E54)</f>
        <v>1370767</v>
      </c>
    </row>
    <row r="56" spans="2:5" ht="15.75" thickTop="1" x14ac:dyDescent="0.25"/>
    <row r="57" spans="2:5" x14ac:dyDescent="0.25">
      <c r="B57" s="60"/>
      <c r="C57" s="60"/>
    </row>
    <row r="58" spans="2:5" x14ac:dyDescent="0.25">
      <c r="B58" s="60"/>
      <c r="C58" s="60"/>
    </row>
  </sheetData>
  <mergeCells count="9">
    <mergeCell ref="C43:C44"/>
    <mergeCell ref="D43:D44"/>
    <mergeCell ref="E43:E44"/>
    <mergeCell ref="C9:C10"/>
    <mergeCell ref="D9:D10"/>
    <mergeCell ref="E9:E10"/>
    <mergeCell ref="C34:C35"/>
    <mergeCell ref="D34:D35"/>
    <mergeCell ref="E34:E35"/>
  </mergeCells>
  <pageMargins left="0.51181102362204722" right="0.51181102362204722" top="0.74803149606299213" bottom="0.74803149606299213" header="0.31496062992125984" footer="0.31496062992125984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7"/>
  <sheetViews>
    <sheetView workbookViewId="0">
      <selection activeCell="E62" activeCellId="8" sqref="D56:E56 E60 B59 B57 B56 D59:D60 G54 G58 E62"/>
    </sheetView>
  </sheetViews>
  <sheetFormatPr defaultRowHeight="15" x14ac:dyDescent="0.25"/>
  <cols>
    <col min="2" max="2" width="36.140625" bestFit="1" customWidth="1"/>
    <col min="3" max="3" width="16.7109375" customWidth="1"/>
    <col min="4" max="4" width="20.42578125" customWidth="1"/>
    <col min="5" max="5" width="15" bestFit="1" customWidth="1"/>
  </cols>
  <sheetData>
    <row r="2" spans="2:5" ht="15.75" x14ac:dyDescent="0.25">
      <c r="B2" s="89" t="s">
        <v>78</v>
      </c>
      <c r="C2" s="1"/>
      <c r="D2" s="1"/>
      <c r="E2" s="1"/>
    </row>
    <row r="3" spans="2:5" x14ac:dyDescent="0.25">
      <c r="B3" s="27" t="s">
        <v>83</v>
      </c>
      <c r="C3" s="1"/>
      <c r="D3" s="1"/>
      <c r="E3" s="1"/>
    </row>
    <row r="4" spans="2:5" ht="24" x14ac:dyDescent="0.25">
      <c r="B4" s="24"/>
      <c r="C4" s="90" t="s">
        <v>18</v>
      </c>
      <c r="D4" s="95" t="s">
        <v>19</v>
      </c>
      <c r="E4" s="96" t="s">
        <v>74</v>
      </c>
    </row>
    <row r="5" spans="2:5" x14ac:dyDescent="0.25">
      <c r="B5" s="25" t="s">
        <v>75</v>
      </c>
      <c r="C5" s="69">
        <v>62478299</v>
      </c>
      <c r="D5" s="69">
        <v>11314392</v>
      </c>
      <c r="E5" s="81">
        <f>SUM(C5:D5)</f>
        <v>73792691</v>
      </c>
    </row>
    <row r="6" spans="2:5" x14ac:dyDescent="0.25">
      <c r="B6" s="11"/>
      <c r="C6" s="70"/>
      <c r="D6" s="70"/>
      <c r="E6" s="70"/>
    </row>
    <row r="7" spans="2:5" x14ac:dyDescent="0.25">
      <c r="B7" s="23" t="s">
        <v>106</v>
      </c>
      <c r="C7" s="71">
        <v>0</v>
      </c>
      <c r="D7" s="72">
        <v>659859</v>
      </c>
      <c r="E7" s="71">
        <f>SUM(C7:D7)</f>
        <v>659859</v>
      </c>
    </row>
    <row r="8" spans="2:5" x14ac:dyDescent="0.25">
      <c r="B8" s="22" t="s">
        <v>111</v>
      </c>
      <c r="C8" s="71">
        <f>SUM(C7)</f>
        <v>0</v>
      </c>
      <c r="D8" s="71">
        <f>SUM(D7)</f>
        <v>659859</v>
      </c>
      <c r="E8" s="71">
        <f>SUM(C8:D8)</f>
        <v>659859</v>
      </c>
    </row>
    <row r="9" spans="2:5" x14ac:dyDescent="0.25">
      <c r="B9" s="11"/>
      <c r="C9" s="70"/>
      <c r="D9" s="70"/>
      <c r="E9" s="70"/>
    </row>
    <row r="10" spans="2:5" ht="36" x14ac:dyDescent="0.25">
      <c r="B10" s="26" t="s">
        <v>107</v>
      </c>
      <c r="C10" s="75"/>
      <c r="D10" s="76">
        <v>6791631</v>
      </c>
      <c r="E10" s="76">
        <f t="shared" ref="E10:E13" si="0">SUM(C10:D10)</f>
        <v>6791631</v>
      </c>
    </row>
    <row r="11" spans="2:5" x14ac:dyDescent="0.25">
      <c r="B11" s="11" t="s">
        <v>92</v>
      </c>
      <c r="C11" s="75">
        <v>0</v>
      </c>
      <c r="D11" s="76">
        <v>3823502</v>
      </c>
      <c r="E11" s="75">
        <f t="shared" si="0"/>
        <v>3823502</v>
      </c>
    </row>
    <row r="12" spans="2:5" x14ac:dyDescent="0.25">
      <c r="B12" s="47" t="s">
        <v>108</v>
      </c>
      <c r="C12" s="77">
        <v>0</v>
      </c>
      <c r="D12" s="76">
        <v>-837709</v>
      </c>
      <c r="E12" s="75">
        <f t="shared" si="0"/>
        <v>-837709</v>
      </c>
    </row>
    <row r="13" spans="2:5" x14ac:dyDescent="0.25">
      <c r="B13" s="74" t="s">
        <v>109</v>
      </c>
      <c r="C13" s="78">
        <v>671501</v>
      </c>
      <c r="D13" s="79"/>
      <c r="E13" s="79">
        <f t="shared" si="0"/>
        <v>671501</v>
      </c>
    </row>
    <row r="14" spans="2:5" ht="15.75" thickBot="1" x14ac:dyDescent="0.3">
      <c r="B14" s="8" t="s">
        <v>110</v>
      </c>
      <c r="C14" s="73">
        <f>SUM(C5,C8,C10:C13)</f>
        <v>63149800</v>
      </c>
      <c r="D14" s="73">
        <f t="shared" ref="D14:E14" si="1">SUM(D5,D8,D10:D13)</f>
        <v>21751675</v>
      </c>
      <c r="E14" s="73">
        <f t="shared" si="1"/>
        <v>84901475</v>
      </c>
    </row>
    <row r="15" spans="2:5" ht="15.75" thickTop="1" x14ac:dyDescent="0.25"/>
    <row r="16" spans="2:5" x14ac:dyDescent="0.25">
      <c r="B16" s="4"/>
      <c r="C16" s="4"/>
    </row>
    <row r="17" spans="2:3" x14ac:dyDescent="0.25">
      <c r="B17" s="4"/>
      <c r="C17" s="4"/>
    </row>
  </sheetData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Лист1!Область_печати</vt:lpstr>
      <vt:lpstr>Лист2!Область_печати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1</cp:lastModifiedBy>
  <cp:lastPrinted>2014-08-28T09:45:52Z</cp:lastPrinted>
  <dcterms:created xsi:type="dcterms:W3CDTF">2014-04-14T04:03:36Z</dcterms:created>
  <dcterms:modified xsi:type="dcterms:W3CDTF">2014-08-28T11:10:59Z</dcterms:modified>
</cp:coreProperties>
</file>