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285" windowHeight="12675" firstSheet="1" activeTab="4"/>
  </bookViews>
  <sheets>
    <sheet name="EVDRE_DATACACHE" sheetId="1" state="veryHidden" r:id="rId1"/>
    <sheet name="Ф1" sheetId="2" r:id="rId2"/>
    <sheet name="Ф2" sheetId="3" r:id="rId3"/>
    <sheet name="Ф3" sheetId="4" r:id="rId4"/>
    <sheet name="Ф4" sheetId="5" r:id="rId5"/>
  </sheets>
  <definedNames>
    <definedName name="curIntCo">#REF!</definedName>
    <definedName name="currentRequest">#REF!</definedName>
    <definedName name="currentStatus">#REF!</definedName>
    <definedName name="EndFilter" localSheetId="1">'Ф1'!#REF!</definedName>
    <definedName name="EndFilter" localSheetId="2">'Ф2'!#REF!</definedName>
    <definedName name="EndFilter" localSheetId="3">'Ф3'!#REF!</definedName>
    <definedName name="EV__EVCOM_OPTIONS__" hidden="1">8</definedName>
    <definedName name="EV__EXPOPTIONS__" hidden="1">0</definedName>
    <definedName name="EV__LASTREFTIME__" hidden="1">"(GMT+06:00)06.05.2015 16:52:41"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FiltrIntCo">#REF!</definedName>
    <definedName name="MEWarning" hidden="1">1</definedName>
    <definedName name="PreviousPeriod">#REF!</definedName>
    <definedName name="_xlnm.Print_Area" localSheetId="1">'Ф1'!$A$1:$E$90</definedName>
    <definedName name="_xlnm.Print_Area" localSheetId="2">'Ф2'!$A$1:$E$85</definedName>
    <definedName name="_xlnm.Print_Area" localSheetId="3">'Ф3'!$A$2:$D$160</definedName>
    <definedName name="_xlnm.Print_Area" localSheetId="4">'Ф4'!$A$35:$Z$297</definedName>
  </definedNames>
  <calcPr fullCalcOnLoad="1"/>
</workbook>
</file>

<file path=xl/comments4.xml><?xml version="1.0" encoding="utf-8"?>
<comments xmlns="http://schemas.openxmlformats.org/spreadsheetml/2006/main">
  <authors>
    <author>Dana Yunusova</author>
  </authors>
  <commentList>
    <comment ref="K79" authorId="0">
      <text>
        <r>
          <rPr>
            <b/>
            <sz val="9"/>
            <rFont val="Tahoma"/>
            <family val="2"/>
          </rPr>
          <t>Dana Yunusova:</t>
        </r>
        <r>
          <rPr>
            <sz val="9"/>
            <rFont val="Tahoma"/>
            <family val="2"/>
          </rPr>
          <t xml:space="preserve">
удалила пустые строки 97 перекинула в прочие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17" authorId="0">
      <text>
        <r>
          <rPr>
            <sz val="8"/>
            <rFont val="Tahoma"/>
            <family val="2"/>
          </rPr>
          <t>Right-click to build filter</t>
        </r>
      </text>
    </comment>
    <comment ref="C17" authorId="0">
      <text>
        <r>
          <rPr>
            <sz val="8"/>
            <rFont val="Tahoma"/>
            <family val="2"/>
          </rPr>
          <t>Right-click to build filter</t>
        </r>
      </text>
    </comment>
    <comment ref="D17" authorId="0">
      <text>
        <r>
          <rPr>
            <sz val="8"/>
            <rFont val="Tahoma"/>
            <family val="2"/>
          </rPr>
          <t>Right-click to build filter</t>
        </r>
      </text>
    </comment>
    <comment ref="E17" authorId="0">
      <text>
        <r>
          <rPr>
            <sz val="8"/>
            <rFont val="Tahoma"/>
            <family val="2"/>
          </rPr>
          <t>Right-click to build filter</t>
        </r>
      </text>
    </comment>
    <comment ref="B109" authorId="0">
      <text>
        <r>
          <rPr>
            <sz val="8"/>
            <rFont val="Tahoma"/>
            <family val="2"/>
          </rPr>
          <t>Right-click to build filter</t>
        </r>
      </text>
    </comment>
    <comment ref="C109" authorId="0">
      <text>
        <r>
          <rPr>
            <sz val="8"/>
            <rFont val="Tahoma"/>
            <family val="2"/>
          </rPr>
          <t>Right-click to build filter</t>
        </r>
      </text>
    </comment>
    <comment ref="D109" authorId="0">
      <text>
        <r>
          <rPr>
            <sz val="8"/>
            <rFont val="Tahoma"/>
            <family val="2"/>
          </rPr>
          <t>Right-click to build filter</t>
        </r>
      </text>
    </comment>
    <comment ref="E109" authorId="0">
      <text>
        <r>
          <rPr>
            <sz val="8"/>
            <rFont val="Tahoma"/>
            <family val="2"/>
          </rPr>
          <t>Right-click to build filter</t>
        </r>
      </text>
    </comment>
  </commentList>
</comments>
</file>

<file path=xl/sharedStrings.xml><?xml version="1.0" encoding="utf-8"?>
<sst xmlns="http://schemas.openxmlformats.org/spreadsheetml/2006/main" count="1065" uniqueCount="486">
  <si>
    <t>Таблица 1</t>
  </si>
  <si>
    <t>App</t>
  </si>
  <si>
    <t>LEGAL</t>
  </si>
  <si>
    <t>C_CATEGORY</t>
  </si>
  <si>
    <t>RANGE</t>
  </si>
  <si>
    <t>VALUE</t>
  </si>
  <si>
    <t>C_DATATS</t>
  </si>
  <si>
    <t>INPUT</t>
  </si>
  <si>
    <t>PageKeyRange</t>
  </si>
  <si>
    <t>C_ENTITY</t>
  </si>
  <si>
    <t>ColKeyRange</t>
  </si>
  <si>
    <t>C_M003</t>
  </si>
  <si>
    <t>RowKeyRange</t>
  </si>
  <si>
    <t>C_M004</t>
  </si>
  <si>
    <t>CellKeyRange</t>
  </si>
  <si>
    <t>FLOW</t>
  </si>
  <si>
    <t>I_T</t>
  </si>
  <si>
    <t>GetOnlyRange</t>
  </si>
  <si>
    <t>GROUPS</t>
  </si>
  <si>
    <t>F_CLO</t>
  </si>
  <si>
    <t>F_OPE</t>
  </si>
  <si>
    <t>FormatRange</t>
  </si>
  <si>
    <t>MEASURES</t>
  </si>
  <si>
    <t>OptionRange</t>
  </si>
  <si>
    <t>RPTCURRENCY</t>
  </si>
  <si>
    <t>SortRange</t>
  </si>
  <si>
    <t>TIME</t>
  </si>
  <si>
    <t>На конец отчетного периода</t>
  </si>
  <si>
    <t>На начало отчетного периода</t>
  </si>
  <si>
    <t>PARAMETER</t>
  </si>
  <si>
    <t>EXPANSION 1</t>
  </si>
  <si>
    <t>EXPANSION 2</t>
  </si>
  <si>
    <t>EXPANSION 3</t>
  </si>
  <si>
    <t>ExpandIn</t>
  </si>
  <si>
    <t>COL</t>
  </si>
  <si>
    <t>ROW</t>
  </si>
  <si>
    <t xml:space="preserve">АКТИВЫ </t>
  </si>
  <si>
    <t>Dimension</t>
  </si>
  <si>
    <t>INTCO</t>
  </si>
  <si>
    <t>C_ACCT</t>
  </si>
  <si>
    <t xml:space="preserve">Долгосрочные активы </t>
  </si>
  <si>
    <t>MemberSet</t>
  </si>
  <si>
    <t>BeforeRange</t>
  </si>
  <si>
    <t>AfterRange</t>
  </si>
  <si>
    <t>Suppress</t>
  </si>
  <si>
    <t>Insert</t>
  </si>
  <si>
    <t>Option</t>
  </si>
  <si>
    <t>Value</t>
  </si>
  <si>
    <t>AutoFitCol</t>
  </si>
  <si>
    <t>Bottom</t>
  </si>
  <si>
    <t>DumpDataCache</t>
  </si>
  <si>
    <t>ExpandOnly</t>
  </si>
  <si>
    <t>HideColKeys</t>
  </si>
  <si>
    <t>Y</t>
  </si>
  <si>
    <t>HideRowKeys</t>
  </si>
  <si>
    <t>NoRefresh</t>
  </si>
  <si>
    <t>NoSend</t>
  </si>
  <si>
    <t xml:space="preserve">Краткосрочные активы </t>
  </si>
  <si>
    <t>ShowComments</t>
  </si>
  <si>
    <t>ShowNullAsZero</t>
  </si>
  <si>
    <t>SortCol</t>
  </si>
  <si>
    <t>SumParent</t>
  </si>
  <si>
    <t>SuppressDataCol</t>
  </si>
  <si>
    <t>SuppressDataRow</t>
  </si>
  <si>
    <t>SuppressNoData</t>
  </si>
  <si>
    <t>DynamicHierarchyExpansion</t>
  </si>
  <si>
    <t>Top</t>
  </si>
  <si>
    <t xml:space="preserve">Итого активы </t>
  </si>
  <si>
    <t>CRITERIA</t>
  </si>
  <si>
    <t>EVALUATE IN</t>
  </si>
  <si>
    <t>FORMAT</t>
  </si>
  <si>
    <t>USE</t>
  </si>
  <si>
    <t>PARAMETERS</t>
  </si>
  <si>
    <t>APPLY TO</t>
  </si>
  <si>
    <t xml:space="preserve">КАПИТАЛ И ОБЯЗАТЕЛЬСТВА </t>
  </si>
  <si>
    <t>Капитал</t>
  </si>
  <si>
    <t>DEFAULT</t>
  </si>
  <si>
    <t>PATTERN</t>
  </si>
  <si>
    <t>KEY</t>
  </si>
  <si>
    <t>HEADING</t>
  </si>
  <si>
    <t>CALC</t>
  </si>
  <si>
    <t>LOCK</t>
  </si>
  <si>
    <t>DATA</t>
  </si>
  <si>
    <t xml:space="preserve">Долгосрочные обязательства </t>
  </si>
  <si>
    <t>INDENTLEVEL</t>
  </si>
  <si>
    <t>Краткосрочные обязательства</t>
  </si>
  <si>
    <t xml:space="preserve">Итого обязательства </t>
  </si>
  <si>
    <t xml:space="preserve">Итого капитал и обязательства </t>
  </si>
  <si>
    <t>I_F0001</t>
  </si>
  <si>
    <t>Относящийся к акционеру материнской компании</t>
  </si>
  <si>
    <t>FLOW.ID=F_CLO</t>
  </si>
  <si>
    <t>FONT</t>
  </si>
  <si>
    <t>_MGBkeFpv8</t>
  </si>
  <si>
    <t>2013.SEP</t>
  </si>
  <si>
    <t>F_PL</t>
  </si>
  <si>
    <t>2012.SEP</t>
  </si>
  <si>
    <t>Отчетный период</t>
  </si>
  <si>
    <t>Аналогичный прошлый период</t>
  </si>
  <si>
    <t>Итого  доходы от реализации и процентные доходы</t>
  </si>
  <si>
    <t xml:space="preserve">Валовый доход </t>
  </si>
  <si>
    <t xml:space="preserve">Доход (убыток) от операционной деятельности </t>
  </si>
  <si>
    <t>Прибыль/(убыток) до налогообложения</t>
  </si>
  <si>
    <t xml:space="preserve">Прибыль/ (убыток) за год от продолжающейся деятельности </t>
  </si>
  <si>
    <t>Прибыль/(убыток) за год</t>
  </si>
  <si>
    <t>Совокупный доход (убыток) за год</t>
  </si>
  <si>
    <t>Доходы от реализации и процентные доходы</t>
  </si>
  <si>
    <t>Государственные субсидии</t>
  </si>
  <si>
    <t/>
  </si>
  <si>
    <t>Себестоимость реализации и процентные расходы</t>
  </si>
  <si>
    <t>Общие и административные расходы</t>
  </si>
  <si>
    <t>Расходы по транспортировке и реализации</t>
  </si>
  <si>
    <t>Прочие операционные доходы от банковской деятельности</t>
  </si>
  <si>
    <t>Прочие операционные расходы(убытки) от банковской деятельности</t>
  </si>
  <si>
    <t>Восстановление обесценения активов</t>
  </si>
  <si>
    <t>Убытки от обесценения активов</t>
  </si>
  <si>
    <t>Прочие неоперационные доходы</t>
  </si>
  <si>
    <t>Прочие неоперационные расходы</t>
  </si>
  <si>
    <t>Финансовый доход (реальный сектор)</t>
  </si>
  <si>
    <t>Финансовые затраты (реальный сектор)</t>
  </si>
  <si>
    <t>Доход (убыток) от курсовой разницы</t>
  </si>
  <si>
    <t>Доля в доходах (убытках) ассоциированных компаний</t>
  </si>
  <si>
    <t>Доля в доходах (убытках) совместно-контролируемых компаний</t>
  </si>
  <si>
    <t>Доход(убыток) от выбытия дочерних организаций</t>
  </si>
  <si>
    <t>Расходы по корпоративному подоходному налогу</t>
  </si>
  <si>
    <t>Прибыль/(убыток) за год от прекращенной деятельности</t>
  </si>
  <si>
    <t>Прочий совокупный доход (убыток) на долю акционеров материнской компании</t>
  </si>
  <si>
    <t>Эффект изменения в ставке подоходного налога на отсроченный налог дочерних организаций на долю акционеров материнской компании</t>
  </si>
  <si>
    <t>40</t>
  </si>
  <si>
    <t>Налоговый эффект компонентов совокупного дохода (убытка) на долю акционеров материнской компании</t>
  </si>
  <si>
    <t>Прочий совокупный доход (убыток) на неконтролирующие доли</t>
  </si>
  <si>
    <t>Эффект изменения в ставке подоходного налога на отсроченный налог дочерних организаций на неконтролирующие доли</t>
  </si>
  <si>
    <t>Налоговый эффект компонентов совокупного дохода (убытка) на неконтролирующие доли</t>
  </si>
  <si>
    <t>Совокупный доход (убыток) относящийся к акционерам материнской компании</t>
  </si>
  <si>
    <t>Совокупный доход (убыток) относящийся к неконтролирующим собственникам</t>
  </si>
  <si>
    <t>Прибыль/(убыток) за год относящийся к акционерам материнской компании</t>
  </si>
  <si>
    <t>Прибыль/(убыток) за год относящийся к неконтролирующим собственникам</t>
  </si>
  <si>
    <t>Доходы (расходы), возникающие при пересчете отчетности зарубежных предприятий</t>
  </si>
  <si>
    <t>Доход (убытки) от переоценки финансовых активов, удерживаемых  для продажи</t>
  </si>
  <si>
    <t>Доход (убытки) от переоценки основных средств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</si>
  <si>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</si>
  <si>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</si>
  <si>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денежных потоков на прибыль/убыток отчетного периода (реализованная прибыль/(убыток))</t>
  </si>
  <si>
    <t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</t>
  </si>
  <si>
    <t>Реклассификация на прибыль или убытки резерва по пересчету иностранной валюты при выбытии иностранных дочерних предприятий</t>
  </si>
  <si>
    <t>Актуарные прибыли (убытки) по плану с установленными выплатами</t>
  </si>
  <si>
    <t>TVSEGO</t>
  </si>
  <si>
    <t>Раскрытие движения денежных средств (прямой метод)</t>
  </si>
  <si>
    <t>Чистое изменение денежных средств и их эквивалентов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</si>
  <si>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</si>
  <si>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</si>
  <si>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</si>
  <si>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прочая выручка</t>
  </si>
  <si>
    <t>авансы полученные</t>
  </si>
  <si>
    <t>дивиденды</t>
  </si>
  <si>
    <t>полученные вознаграждения (проценты)</t>
  </si>
  <si>
    <t>Полученные вознаграждения по  займам выданным, КРОМЕ дебиторской задолженности по финансовой аренде)</t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</si>
  <si>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</si>
  <si>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</si>
  <si>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</si>
  <si>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Полученные вознаграждения по финансовым активам (долговым ценным бумагам)</t>
  </si>
  <si>
    <t>поступления по операциям с финансовыми активами и обязательствами (для финансовых организаций):</t>
  </si>
  <si>
    <t>Погашение краткосрочных займов выданных</t>
  </si>
  <si>
    <t>Погашение долгосрочных займов выданных</t>
  </si>
  <si>
    <t>Погашение средств кредитных учреждений</t>
  </si>
  <si>
    <t>Погашение финансовых активов (долговых ценных бумаг)</t>
  </si>
  <si>
    <t>Погашение дебиторской задолженности по финансовой аренде</t>
  </si>
  <si>
    <t>Поступления по средствам клиентов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</si>
  <si>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</si>
  <si>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</si>
  <si>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</si>
  <si>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Поступления по Займам из Республиканского бюджета РК</t>
  </si>
  <si>
    <t>Поступления по Займам из Национального фонда РК</t>
  </si>
  <si>
    <t>Поступления по Займам, предоставленным Национальным Банком РК</t>
  </si>
  <si>
    <t>Поступления по Займам, предоставленным Национальными Банками других государств</t>
  </si>
  <si>
    <t>поступления по операциям с иностранной валютой</t>
  </si>
  <si>
    <t>поступления по договорам страхования (для страховых организаций)</t>
  </si>
  <si>
    <t>реализация услуг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</si>
  <si>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</si>
  <si>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</si>
  <si>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</si>
  <si>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</si>
  <si>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</si>
  <si>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</si>
  <si>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</si>
  <si>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</si>
  <si>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Выплата вознаграждения по Займам из Республиканского бюджета РК</t>
  </si>
  <si>
    <t>Выплата вознаграждения по Займам из Национального фонда РК</t>
  </si>
  <si>
    <t>Выплата вознаграждения по Займам, предоставленные Национальным Банком РК</t>
  </si>
  <si>
    <t>Выплата вознаграждения по Займам, предоставленным Национальными Банками других государств</t>
  </si>
  <si>
    <t>Выплата вознаграждения по средствам клиентов</t>
  </si>
  <si>
    <t>Выплата вознаграждения по обязательствам по финансовой аренде</t>
  </si>
  <si>
    <t>корпоративный подоходный налог</t>
  </si>
  <si>
    <t>другие платежи в бюджет</t>
  </si>
  <si>
    <t>выбытия по операциям с финансовыми активами и обязательствами (для финансовых организаций):</t>
  </si>
  <si>
    <t>Предоставление краткосрочных займов выданных</t>
  </si>
  <si>
    <t>Предоставление долгосрочных займов выданных</t>
  </si>
  <si>
    <t>Размещение средств в кредитных учреждениях</t>
  </si>
  <si>
    <t>Размещение средств в финансовые активы (долговые ценные бумаги)</t>
  </si>
  <si>
    <t>Выплата основного долга по средствам клиентов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</si>
  <si>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</si>
  <si>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</si>
  <si>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Займам из Республиканского бюджета РК</t>
  </si>
  <si>
    <t>Выплата основного долга по Займам из Национального фонда РК</t>
  </si>
  <si>
    <t>Выплата основного долга по Займам, предоставленным Национальным Банком РК</t>
  </si>
  <si>
    <t>Выплата основного долга по Займам, предоставленным Национальными Банками других государств</t>
  </si>
  <si>
    <t>Выплата основного долга по выпущенным долговым ценным бумагам (облигациям)</t>
  </si>
  <si>
    <t>выплаты по операциям с иностранной валютой</t>
  </si>
  <si>
    <t>выплаты по договорам страхования (для страховых организаций)</t>
  </si>
  <si>
    <t>прочие выплаты</t>
  </si>
  <si>
    <t>2. Движение денежных средств по инвестиционной деятельности</t>
  </si>
  <si>
    <t>2.1. Поступление денежных средств, всего</t>
  </si>
  <si>
    <t>Поступления от продажи основных средств</t>
  </si>
  <si>
    <t>Поступления от продажи нематериальных активов</t>
  </si>
  <si>
    <t>Поступления от продажи других долгосрочных активов</t>
  </si>
  <si>
    <t>Поступления от продажи дочерних организаций</t>
  </si>
  <si>
    <t>Поступления от продажи долей участия в ассоциированных организациях</t>
  </si>
  <si>
    <t>Поступления от продажи долей участия в совместном предпринимательстве</t>
  </si>
  <si>
    <t>Поступления от реализации прочих долевых инструментов (для реального сектора)</t>
  </si>
  <si>
    <t>Поступления от реализации долговых инструментов</t>
  </si>
  <si>
    <t>Возврат банковских вкладов</t>
  </si>
  <si>
    <t>Поступления по фьючерсным и форвардным контрактам, опционам и свопам</t>
  </si>
  <si>
    <t>Дивиденды и прочие выплаты от дочерних компаний</t>
  </si>
  <si>
    <t>Дивиденды и прочие выплаты от ассоциированных компаний</t>
  </si>
  <si>
    <t>Дивиденды и прочие выплаты от совместно-контролируемых организаций</t>
  </si>
  <si>
    <t>Погашение краткосрочных займов выданных (для реального сектора)</t>
  </si>
  <si>
    <t>Погашение долгосрочных займов выданных (для реального сектора)</t>
  </si>
  <si>
    <t>Поступления от погашения долговых инструментов эмитентами</t>
  </si>
  <si>
    <t>Прочие поступления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</si>
  <si>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</si>
  <si>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</si>
  <si>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</si>
  <si>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</si>
  <si>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дочерних организаций</t>
  </si>
  <si>
    <t>Приобретение долей участия в ассоциированных организациях</t>
  </si>
  <si>
    <t>Приобретение долей участия в совместном предпринимательстве</t>
  </si>
  <si>
    <t>Приобретение прочих долевых инструментов (для реального сектора)</t>
  </si>
  <si>
    <t>Приобретение долговых инструментов</t>
  </si>
  <si>
    <t>Размещение банковских вкладов</t>
  </si>
  <si>
    <t>Выбытия по фьючерсным и форвардным контрактам, опционам и свопам</t>
  </si>
  <si>
    <t>Предоставление краткосрочных займов выданных (для реального сектора)</t>
  </si>
  <si>
    <t>Предоставление долгосрочных займов выданных (для реального сектора)</t>
  </si>
  <si>
    <t>Взносы в уставный капитал дочерних организаций</t>
  </si>
  <si>
    <t>Денежные средства дочерних организаций, которые перегруппированы в группы выбытия</t>
  </si>
  <si>
    <t>Прочие выплаты</t>
  </si>
  <si>
    <t>3. Движение денежных средств по финансовой деятельности</t>
  </si>
  <si>
    <t>3.1. Поступление денежных средств, всего</t>
  </si>
  <si>
    <t>Поступления от выпуска акций и взносы в уставный капитал</t>
  </si>
  <si>
    <t>размещение акций на фондовых рынках контролирующим собственникам</t>
  </si>
  <si>
    <t>взносы контролирующих собственников за счет Республиканского бюджета</t>
  </si>
  <si>
    <t>прочие взносы контролирующих собственников</t>
  </si>
  <si>
    <t>размещение акций на фондовых рынках НЕконтролирующим собственникам</t>
  </si>
  <si>
    <t>прочие взносы НЕконтролирующих собственников</t>
  </si>
  <si>
    <t>Поступления от выпуска акций дочерних организаций</t>
  </si>
  <si>
    <t>Продажа собственных акций (не первичное размещение)</t>
  </si>
  <si>
    <t>3.2. Выбытие денежных средств, всего</t>
  </si>
  <si>
    <t>Приобретение собственных акций</t>
  </si>
  <si>
    <t>Выплата основного долга по обязательствам по финансовой аренде</t>
  </si>
  <si>
    <t>Дивиденды выплаченные</t>
  </si>
  <si>
    <t>дивиденды выплаченные акционерам материнской компании</t>
  </si>
  <si>
    <t>дивиденды выплаченные неконтролирующим собственникам</t>
  </si>
  <si>
    <t>прочие выплаты акционерам материнской компании</t>
  </si>
  <si>
    <t>прочие выплаты неконтролирующим собственникам</t>
  </si>
  <si>
    <t>4. Влияние изменений обменного курса на сальдо денежных средств в иностранной валюте</t>
  </si>
  <si>
    <t>Контроль</t>
  </si>
  <si>
    <t>Денежные средства и их эквиваленты сальдо на начало</t>
  </si>
  <si>
    <t>Денежные средства и их эквиваленты сальдо на конец</t>
  </si>
  <si>
    <t>EXPANSION 4</t>
  </si>
  <si>
    <t>501010000,503000000,504000000,501020000,505010000,505020000,505030000,505040000,505990000,502000000,506000000|599990000,500000000</t>
  </si>
  <si>
    <t>Text</t>
  </si>
  <si>
    <t>INTERIOR.COLOR,LOCK</t>
  </si>
  <si>
    <t>FLOW.GROUP2=SALDO</t>
  </si>
  <si>
    <t>FLOW.PARENTH1=M1_04_07</t>
  </si>
  <si>
    <t>Level 1 members</t>
  </si>
  <si>
    <t>FLOW.PARENTH1=M1_04_20</t>
  </si>
  <si>
    <t>Таблица 1 - 2 й EVDRE</t>
  </si>
  <si>
    <t>M1_04_08</t>
  </si>
  <si>
    <t>M1_04_09</t>
  </si>
  <si>
    <t>M1_04_10</t>
  </si>
  <si>
    <t>M1_04_11</t>
  </si>
  <si>
    <t>M1_04_12</t>
  </si>
  <si>
    <t>M1_04_13</t>
  </si>
  <si>
    <t>M1_04_14</t>
  </si>
  <si>
    <t>M1_04_15</t>
  </si>
  <si>
    <t>M1_04_19</t>
  </si>
  <si>
    <t>M1_04_20</t>
  </si>
  <si>
    <t>M1_04_21</t>
  </si>
  <si>
    <t>M1_04_22</t>
  </si>
  <si>
    <t>M1_04_23</t>
  </si>
  <si>
    <t>M1_04_24</t>
  </si>
  <si>
    <t>M1_04_25</t>
  </si>
  <si>
    <t>M1_04_52</t>
  </si>
  <si>
    <t>M1_04_53</t>
  </si>
  <si>
    <t>M1_04_54</t>
  </si>
  <si>
    <t>Уставный капитал</t>
  </si>
  <si>
    <t>Выкупленные собственные долевые инструменты</t>
  </si>
  <si>
    <t>Эмиссионный доход</t>
  </si>
  <si>
    <t>Дополнительно оплаченный капитал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</si>
  <si>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</si>
  <si>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</si>
  <si>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</si>
  <si>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резервный капитал</t>
  </si>
  <si>
    <t>Опционы по расчетам акциями</t>
  </si>
  <si>
    <t>Нераспределенная прибыль</t>
  </si>
  <si>
    <t>Итого</t>
  </si>
  <si>
    <t>КАПИТАЛ И РЕЗЕРВЫ</t>
  </si>
  <si>
    <t>I_NONE</t>
  </si>
  <si>
    <t>На начало отчетного периода 2013.SEP</t>
  </si>
  <si>
    <t>M1_04_01</t>
  </si>
  <si>
    <t>Совокупный доход (убыток) за период</t>
  </si>
  <si>
    <t>M1_04_02</t>
  </si>
  <si>
    <t>Взносы в капитал (выпуск акций)</t>
  </si>
  <si>
    <t>M1_04_03</t>
  </si>
  <si>
    <t>Взносы в капитал (выпуск акций), связанный с объединением бизнеса</t>
  </si>
  <si>
    <t>M1_04_04</t>
  </si>
  <si>
    <t>Долевой компонент конвертируемых инструментов(за минусом налогового эффекта)</t>
  </si>
  <si>
    <t>M1_04_05</t>
  </si>
  <si>
    <t>Обратный выкуп собственных акций</t>
  </si>
  <si>
    <t>M1_04_06</t>
  </si>
  <si>
    <t>Продажа собственных выкупленных  акций (вторичное размещение)</t>
  </si>
  <si>
    <t>M1_04_07</t>
  </si>
  <si>
    <t>Прочие вклады акционеров</t>
  </si>
  <si>
    <t>M1_04_07_001</t>
  </si>
  <si>
    <t>Вклад КЦ Фонда_дисконт по долгосрочной кредиторской задолженности</t>
  </si>
  <si>
    <t>M1_04_07_002</t>
  </si>
  <si>
    <t>M1_04_07_003</t>
  </si>
  <si>
    <t>M1_04_07_004</t>
  </si>
  <si>
    <t>M1_04_07_099</t>
  </si>
  <si>
    <t>Прочие вклады других акционеров</t>
  </si>
  <si>
    <t>M1_04_16</t>
  </si>
  <si>
    <t>Сделки с акционером, действующим в качестве акционера</t>
  </si>
  <si>
    <t>M1_04_17</t>
  </si>
  <si>
    <t>Дивиденды акционерам материнской организации</t>
  </si>
  <si>
    <t>M1_04_18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</si>
  <si>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</si>
  <si>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</si>
  <si>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>Прочие распределения акционерам</t>
  </si>
  <si>
    <t>M1_04_20_001</t>
  </si>
  <si>
    <t>Распределение КЦ Фонда_дисконт по долгосрочной дебиторской задолженности</t>
  </si>
  <si>
    <t>M1_04_20_002</t>
  </si>
  <si>
    <t>M1_04_20_003</t>
  </si>
  <si>
    <t>M1_04_20_004</t>
  </si>
  <si>
    <t>M1_04_20_099</t>
  </si>
  <si>
    <t>Прочие распределения другим акционерам</t>
  </si>
  <si>
    <t>Признание выплат на основе акций (стоимость услуг работников)</t>
  </si>
  <si>
    <t>На конец отчетного периода 2013.SEP</t>
  </si>
  <si>
    <t>M1_04_51</t>
  </si>
  <si>
    <t>Сальдо на начало предыдущего периода, отраженное в предыдущей отчетности</t>
  </si>
  <si>
    <t>Корректировки сальдо на начало предыдущего периода вследствие изменения учетной политики</t>
  </si>
  <si>
    <t>На начало отчетного периода 2012.SEP</t>
  </si>
  <si>
    <t>На конец отчетного периода 2012.SEP</t>
  </si>
  <si>
    <t>Основные средства</t>
  </si>
  <si>
    <t>Нематериальные активы</t>
  </si>
  <si>
    <t>Разведочные и оценочные активы</t>
  </si>
  <si>
    <t>Инвестиционная собственность</t>
  </si>
  <si>
    <t>Инвестиции в дочерние организации</t>
  </si>
  <si>
    <t>Инвестиции в совместно-контролируемые организации</t>
  </si>
  <si>
    <t>Инвестиции в ассоциированные организации (АО)</t>
  </si>
  <si>
    <t>Займы выданные - долгосрочная часть</t>
  </si>
  <si>
    <t>Долгосрочные финансовые активы</t>
  </si>
  <si>
    <t>Производные финансовые инструменты - долгосрочные активы</t>
  </si>
  <si>
    <t>Отложенные налоговые активы (ОНА)</t>
  </si>
  <si>
    <t>Долгосрочная дебиторская задолженность</t>
  </si>
  <si>
    <t>Прочие долгосрочные активы</t>
  </si>
  <si>
    <t>ДОЛГОСРОЧНЫЕ АКТИВЫ</t>
  </si>
  <si>
    <t>Товарно-материальные запасы</t>
  </si>
  <si>
    <t>Краткосрочная дебиторская задолженность</t>
  </si>
  <si>
    <t>Займы выданные - текущая часть</t>
  </si>
  <si>
    <t>Средства в кредитных учреждениях - текущая часть</t>
  </si>
  <si>
    <t>Краткосрочные финансовые активы</t>
  </si>
  <si>
    <t>Предоплата по подоходному налогу</t>
  </si>
  <si>
    <t>НДС к возмещению</t>
  </si>
  <si>
    <t>Денежные средства</t>
  </si>
  <si>
    <t>КРАТКОСРОЧНЫЕ АКТИВЫ</t>
  </si>
  <si>
    <t>Доля неконтролирующих собственников</t>
  </si>
  <si>
    <t>Займы полученные - долгосрочная часть</t>
  </si>
  <si>
    <t>Средства Правительства РК и Национальных банков - долгосрочная часть</t>
  </si>
  <si>
    <t>Привлеченные средства клиентов - долгосрочная часть</t>
  </si>
  <si>
    <t>Обязательства по финансовой аренде</t>
  </si>
  <si>
    <t>Обязательства по вознаграждениям работникам</t>
  </si>
  <si>
    <t>Производные финансовые инструменты - долгосрочные обязательства</t>
  </si>
  <si>
    <t>Отложенные налоговые обязательства (ОНО)</t>
  </si>
  <si>
    <t>Долгосрочная часть резервов под обязательства и отчисления</t>
  </si>
  <si>
    <t>Долгосрочная кредиторская задолженность</t>
  </si>
  <si>
    <t>Прочие долгосрочные обязательства</t>
  </si>
  <si>
    <t>ДОЛГОСРОЧНЫЕ ОБЯЗАТЕЛЬСТВА</t>
  </si>
  <si>
    <t>Займы полученные - текущая часть</t>
  </si>
  <si>
    <t>Средства Правительства РК и Национальных банков - текущая часть</t>
  </si>
  <si>
    <t>Привлеченные средства клиентов - текущая часть</t>
  </si>
  <si>
    <t>Производные финансовые инструменты - краткосрочные обязательства</t>
  </si>
  <si>
    <t>Краткосрочная кредиторская задолженность</t>
  </si>
  <si>
    <t>Обязательства по подоходному налогу</t>
  </si>
  <si>
    <t>Обязательства по прочим налогам и обязательным платежам</t>
  </si>
  <si>
    <t>Прочие краткосрочные обязательства</t>
  </si>
  <si>
    <t>КРАТКОСРОЧНЫЕ ОБЯЗАТЕЛЬСТВА</t>
  </si>
  <si>
    <t>Балансовая стоимость одной простой акции</t>
  </si>
  <si>
    <t>Наименование компании: АО «НК «Казахстан инжиниринг»</t>
  </si>
  <si>
    <t>тыс. тенге</t>
  </si>
  <si>
    <t>Примечание</t>
  </si>
  <si>
    <t>ДНС: Доля неконтролирующих собственников (на уровне ДО Фонда)</t>
  </si>
  <si>
    <t>2015.MAR</t>
  </si>
  <si>
    <t>2014.MAR</t>
  </si>
  <si>
    <t>&lt;EVDRE_CACHE&gt;&lt;EVDRE ID="Ф4|001-00094"&gt;&lt;CELL&gt;2014.MAR|501010000|I_NONE|F_OPE| - -12101802.0000000&lt;/CELL&gt;&lt;CELL&gt;2014.MAR|501010000|I_NONE|F_CLO| - -12101802.0000000&lt;/CELL&gt;&lt;CELL&gt;2014.MAR|501020000|I_NONE|F_OPE| - -841018.0000000&lt;/CELL&gt;&lt;CELL&gt;2014.MAR|501020000|I_NONE|F_CLO| - -841018.0000000&lt;/CELL&gt;&lt;CELL&gt;2014.MAR|506000000|I_NONE|F_OPE| - -10005198.0000000&lt;/CELL&gt;&lt;CELL&gt;2014.MAR|506000000|I_NONE|M1_04_01| - 458931.0000000&lt;/CELL&gt;&lt;CELL&gt;2014.MAR|506000000|I_NONE|F_CLO| - -9546267.0000000&lt;/CELL&gt;&lt;CELL&gt;2014.MAR|599990000</t>
  </si>
  <si>
    <t>|I_NONE|F_OPE| - -631934.0000000&lt;/CELL&gt;&lt;CELL&gt;2014.MAR|599990000|I_NONE|M1_04_01| - -20669.0000000&lt;/CELL&gt;&lt;CELL&gt;2014.MAR|599990000|I_NONE|F_CLO| - -652603.0000000&lt;/CELL&gt;&lt;CELL&gt;2014.MAR|500000000|I_NONE|F_OPE| - -23579952.0000000&lt;/CELL&gt;&lt;CELL&gt;2014.MAR|500000000|I_NONE|M1_04_01| - 438262.0000000&lt;/CELL&gt;&lt;CELL&gt;2014.MAR|500000000|I_NONE|F_CLO| - -23141690.0000000&lt;/CELL&gt;&lt;/EVDRE&gt;&lt;EVDRE ID="Ф4|001-00001"&gt;&lt;CELL&gt;2015.MAR|501010000|I_NONE|F_OPE| - -21476802.0000000&lt;/CELL&gt;&lt;CELL&gt;2015.MAR|501010000|I_NONE|F_CLO| - -21476802.0</t>
  </si>
  <si>
    <t xml:space="preserve">000000&lt;/CELL&gt;&lt;CELL&gt;2015.MAR|501020000|I_NONE|F_OPE| - -841018.0000000&lt;/CELL&gt;&lt;CELL&gt;2015.MAR|501020000|I_NONE|F_CLO| - -841018.0000000&lt;/CELL&gt;&lt;CELL&gt;2015.MAR|506000000|I_NONE|F_OPE| - -10159254.0000000&lt;/CELL&gt;&lt;CELL&gt;2015.MAR|506000000|I_NONE|M1_04_01| - 1111280.0000000&lt;/CELL&gt;&lt;CELL&gt;2015.MAR|506000000|I_NONE|F_CLO| - -9047974.0000000&lt;/CELL&gt;&lt;CELL&gt;2015.MAR|599990000|I_NONE|F_OPE| - -691530.0000000&lt;/CELL&gt;&lt;CELL&gt;2015.MAR|599990000|I_NONE|M1_04_01| - -33196.0000000&lt;/CELL&gt;&lt;CELL&gt;2015.MAR|599990000|I_NONE|F_CLO| - -724726.0000000&lt;/CELL&gt;&lt;CELL&gt;2015.MAR|500000000|I_NONE|F_OPE| - -33168604.0000000&lt;/CELL&gt;&lt;CELL&gt;2015.MAR|500000000|I_NONE|M1_04_01| - 1078084.0000000&lt;/CELL&gt;&lt;CELL&gt;2015.MAR|500000000|I_NONE|F_CLO| - -32090520.0000000&lt;/CELL&gt;&lt;/EVDRE&gt;&lt;/EVDRE_CACHE&gt;
</t>
  </si>
  <si>
    <t>Главный бухгалтер:  __________________________________________ Ж.Алибова</t>
  </si>
  <si>
    <t>Долгосрочные активы или группы выбытия предназначенные для продажи</t>
  </si>
  <si>
    <t>Резерв переоценки инвестиций имеющихся в наличии для продажи</t>
  </si>
  <si>
    <t>Обязательства непосредственно связанные с долгосрочными активами удерживаемыми для продажи и группами выбытия</t>
  </si>
  <si>
    <t xml:space="preserve">Заместитель Председателя      </t>
  </si>
  <si>
    <t xml:space="preserve">Заместитель Председателя    </t>
  </si>
  <si>
    <t xml:space="preserve">Заместитель Председателя 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</si>
  <si>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</si>
  <si>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</si>
  <si>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</si>
  <si>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</si>
  <si>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</si>
  <si>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ок</t>
  </si>
  <si>
    <t>эмиссионный доход</t>
  </si>
  <si>
    <t>Резерв переоценки инвестиций, имеющихся в наличии для продажи</t>
  </si>
  <si>
    <t>Исполнитель: Аркенова У.</t>
  </si>
  <si>
    <t xml:space="preserve">Исполнитель: Аркенова У. </t>
  </si>
  <si>
    <t>Прочие налоги к возмещению</t>
  </si>
  <si>
    <t>Денежные средства, ограниченные в использовании</t>
  </si>
  <si>
    <t>Прочие текущие активы</t>
  </si>
  <si>
    <t>Долговой компонент привилигированных акций</t>
  </si>
  <si>
    <t>На начало отчетного периода (01.01.2016 г.)</t>
  </si>
  <si>
    <t>На начало аналогичного предыдущего периода (01.01.2015 г.)</t>
  </si>
  <si>
    <t>Консолидированный отчет о финансовом положении по состоянию на 30 июня 2016 года</t>
  </si>
  <si>
    <t>из пакета</t>
  </si>
  <si>
    <t>Консолидированный отчет о совокупном доходе по сотоянию на 30 июня 2016 года</t>
  </si>
  <si>
    <t>Консолидированный отчет о движении денежных средств (прямой метод) по состоянию на 30 июня 2016 года</t>
  </si>
  <si>
    <t>Консолидированный отчет об изменении в собственном капитале по состоянию на 30 июня  2016 года</t>
  </si>
  <si>
    <t>в том числе:</t>
  </si>
  <si>
    <r>
      <t xml:space="preserve">Полученные вознаграждения по  займам выданным, </t>
    </r>
    <r>
      <rPr>
        <b/>
        <i/>
        <sz val="10"/>
        <rFont val="Arial"/>
        <family val="2"/>
      </rPr>
      <t xml:space="preserve">КРОМЕ </t>
    </r>
    <r>
      <rPr>
        <i/>
        <sz val="10"/>
        <rFont val="Arial"/>
        <family val="2"/>
      </rPr>
      <t>дебиторской задолженности по финансовой аренде)</t>
    </r>
  </si>
  <si>
    <t xml:space="preserve">Погашение дебиторской задолженности по финансовой аренде </t>
  </si>
  <si>
    <t xml:space="preserve">Поступления по краткосрочным займам полученным </t>
  </si>
  <si>
    <t xml:space="preserve">Поступления по долгосрочным займам полученным </t>
  </si>
  <si>
    <t xml:space="preserve">прочие поступления (укажите существенные статьи) </t>
  </si>
  <si>
    <t xml:space="preserve">    -поступления по гарантийным взносам </t>
  </si>
  <si>
    <t xml:space="preserve">    -возвратам ссуды работников    </t>
  </si>
  <si>
    <t xml:space="preserve">    -поступление штрафов по хоз.договорам</t>
  </si>
  <si>
    <t xml:space="preserve">    -возмещение судебных расходов</t>
  </si>
  <si>
    <t xml:space="preserve">     -конвертация валюты</t>
  </si>
  <si>
    <t xml:space="preserve">    -прочее </t>
  </si>
  <si>
    <t>выплаты по договорам страхования  (для страховых организаций)</t>
  </si>
  <si>
    <t>выплаты спонсорской помощи</t>
  </si>
  <si>
    <t xml:space="preserve">прочие выплаты (укажите существенные статьи) </t>
  </si>
  <si>
    <t xml:space="preserve">    -командировочные расходы  </t>
  </si>
  <si>
    <t xml:space="preserve">    -выплаты по исполнительным листам </t>
  </si>
  <si>
    <t xml:space="preserve">    -выплаты связанные с оплатой материального ущерба</t>
  </si>
  <si>
    <t xml:space="preserve">    -оплата обеспечения исполнения договоров </t>
  </si>
  <si>
    <t xml:space="preserve">    -отчисления членских взносов профсоюзной организации </t>
  </si>
  <si>
    <t xml:space="preserve">    -платежи в ГЦВП </t>
  </si>
  <si>
    <t xml:space="preserve">      конвертация валюты</t>
  </si>
  <si>
    <t xml:space="preserve">    -прочее   </t>
  </si>
  <si>
    <t>Перевод денежных средств на депозитные счета</t>
  </si>
  <si>
    <t xml:space="preserve">2. Движение денежных средств по инвестиционной деятельности </t>
  </si>
  <si>
    <t xml:space="preserve">Поступления от продажи основных средств </t>
  </si>
  <si>
    <t>Поступления от реализации долговых инструментов (для реального сектора)</t>
  </si>
  <si>
    <t xml:space="preserve">Дивиденды и прочие выплаты от совместно-контролируемых организаций </t>
  </si>
  <si>
    <t>Поступления от погашения долговых инструментов эмитентами (для реального сектора)</t>
  </si>
  <si>
    <t xml:space="preserve">Приобретение основных средств </t>
  </si>
  <si>
    <t>Приобретение разведочных и оценочных активов</t>
  </si>
  <si>
    <t>Приобретение долговых инструментов (для реального сектора)</t>
  </si>
  <si>
    <t xml:space="preserve">3. Движение денежных средств по финансовой деятельности </t>
  </si>
  <si>
    <t>Поступления от выпуска акций и взносы в уставный капитал (для КЦ Фонда)</t>
  </si>
  <si>
    <t>Поступления от выпуска акций, в том числе:</t>
  </si>
  <si>
    <t xml:space="preserve">Прочие поступления </t>
  </si>
  <si>
    <t xml:space="preserve">Выплата основного долга по обязательствам по финансовой аренде </t>
  </si>
  <si>
    <t>Дивиденды, выплаченные:</t>
  </si>
  <si>
    <t xml:space="preserve"> - акционерам материнской компании</t>
  </si>
  <si>
    <t xml:space="preserve"> - неконтролирующим собственникам</t>
  </si>
  <si>
    <t>Прочие выплаты:</t>
  </si>
  <si>
    <t xml:space="preserve">Прочие выплаты </t>
  </si>
  <si>
    <t xml:space="preserve">Влияние изменений обменного курса на сальдо денежных средств в иностранной валюте </t>
  </si>
  <si>
    <t xml:space="preserve">4. Чистое изменение денежных средств и их эквивалентов </t>
  </si>
  <si>
    <t>Денежные средства и их эквиваленты на начало периода</t>
  </si>
  <si>
    <t>Денежные средства и их эквиваленты на конец периода</t>
  </si>
  <si>
    <t>Главный бухгалтер:  __________________________________________ Ж. Алибова</t>
  </si>
  <si>
    <t>Правления                     _________________________________________________  С.Мыншарипова</t>
  </si>
  <si>
    <t>Главный бухгалтер:     ____________________________________ Ж.Алибова</t>
  </si>
  <si>
    <t>На конец аналогичного предыдущего периода (30.06.2015 г.)</t>
  </si>
  <si>
    <t>На конец отчетного периода (30.06.2016 г.)</t>
  </si>
  <si>
    <t>С. Мыншарипова</t>
  </si>
  <si>
    <t>Правления                  __________________________________________  С. Мыншарипова</t>
  </si>
  <si>
    <t>Правления                  __________________________________________ С. Мыншарипова</t>
  </si>
</sst>
</file>

<file path=xl/styles.xml><?xml version="1.0" encoding="utf-8"?>
<styleSheet xmlns="http://schemas.openxmlformats.org/spreadsheetml/2006/main">
  <numFmts count="7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#,##0.0_);\(#,##0.0\)"/>
    <numFmt numFmtId="167" formatCode="&quot;$&quot;#,##0.0_);[Red]\(&quot;$&quot;#,##0.0\)"/>
    <numFmt numFmtId="168" formatCode="#\ ##0_.\ &quot;zі&quot;\ 00\ &quot;gr&quot;;\(#\ ##0.00\z\і\)"/>
    <numFmt numFmtId="169" formatCode="#\ ##0&quot;zі&quot;00&quot;gr&quot;;\(#\ ##0.00\z\і\)"/>
    <numFmt numFmtId="170" formatCode="_-&quot;$&quot;* #,##0.00_-;\-&quot;$&quot;* #,##0.00_-;_-&quot;$&quot;* &quot;-&quot;??_-;_-@_-"/>
    <numFmt numFmtId="171" formatCode="0.0%;\(0.0%\)"/>
    <numFmt numFmtId="172" formatCode="[$-409]d\-mmm\-yy;@"/>
    <numFmt numFmtId="173" formatCode="[$-409]d\-mmm;@"/>
    <numFmt numFmtId="174" formatCode="_(#,##0;\(#,##0\);\-;&quot;  &quot;@"/>
    <numFmt numFmtId="175" formatCode="#,##0.00&quot; $&quot;;[Red]\-#,##0.00&quot; $&quot;"/>
    <numFmt numFmtId="176" formatCode="_(* #,##0,_);_(* \(#,##0,\);_(* &quot;-&quot;_);_(@_)"/>
    <numFmt numFmtId="177" formatCode="0%_);\(0%\)"/>
    <numFmt numFmtId="178" formatCode="_-* #,##0\ _$_-;\-* #,##0\ _$_-;_-* &quot;-&quot;\ _$_-;_-@_-"/>
    <numFmt numFmtId="179" formatCode="\+0.0;\-0.0"/>
    <numFmt numFmtId="180" formatCode="\+0.0%;\-0.0%"/>
    <numFmt numFmtId="181" formatCode="&quot;$&quot;#,##0"/>
    <numFmt numFmtId="182" formatCode="#\ ##0&quot;zі&quot;_.00&quot;gr&quot;;\(#\ ##0.00\z\і\)"/>
    <numFmt numFmtId="183" formatCode="#\ ##0&quot;zі&quot;.00&quot;gr&quot;;\(#\ ##0&quot;zі&quot;.00&quot;gr&quot;\)"/>
    <numFmt numFmtId="184" formatCode="General_)"/>
    <numFmt numFmtId="185" formatCode="#,##0;[Red]\-#,##0"/>
    <numFmt numFmtId="186" formatCode="[$$-409]#,##0_ ;[Red]\-[$$-409]#,##0\ "/>
    <numFmt numFmtId="187" formatCode="#"/>
    <numFmt numFmtId="188" formatCode="#,##0;\(#,##0\)"/>
    <numFmt numFmtId="189" formatCode="0.00;0;"/>
    <numFmt numFmtId="190" formatCode="0.0"/>
    <numFmt numFmtId="191" formatCode="_-* ###0_-;\(###0\);_-* &quot;–&quot;_-;_-@_-"/>
    <numFmt numFmtId="192" formatCode="_-* #,##0_-;\(#,##0\);_-* &quot;–&quot;_-;_-@_-"/>
    <numFmt numFmtId="193" formatCode="_-* #,###_-;\(#,###\);_-* &quot;–&quot;_-;_-@_-"/>
    <numFmt numFmtId="194" formatCode="_-\ #,##0.000_-;\(#,##0.000\);_-* &quot;–&quot;_-;_-@_-"/>
    <numFmt numFmtId="195" formatCode="_-#,###_-;\(#,###\);_-\ &quot;–&quot;_-;_-@_-"/>
    <numFmt numFmtId="196" formatCode="#,##0.000\);[Red]\(#,##0.000\)"/>
    <numFmt numFmtId="197" formatCode="&quot;$&quot;#,##0_);\(&quot;$&quot;#,##0\)"/>
    <numFmt numFmtId="198" formatCode="&quot;P&quot;#,##0.00;[Red]\-&quot;P&quot;#,##0.00"/>
    <numFmt numFmtId="199" formatCode="_-&quot;P&quot;* #,##0.00_-;\-&quot;P&quot;* #,##0.00_-;_-&quot;P&quot;* &quot;-&quot;??_-;_-@_-"/>
    <numFmt numFmtId="200" formatCode="_([$€-2]* #,##0.00_);_([$€-2]* \(#,##0.00\);_([$€-2]* &quot;-&quot;??_)"/>
    <numFmt numFmtId="201" formatCode="_-* #,##0\ _P_t_s_-;\-* #,##0\ _P_t_s_-;_-* &quot;-&quot;\ _P_t_s_-;_-@_-"/>
    <numFmt numFmtId="202" formatCode="_-* #,##0.00\ _P_t_s_-;\-* #,##0.00\ _P_t_s_-;_-* &quot;-&quot;??\ _P_t_s_-;_-@_-"/>
    <numFmt numFmtId="203" formatCode="_-* #,##0\ &quot;Pts&quot;_-;\-* #,##0\ &quot;Pts&quot;_-;_-* &quot;-&quot;\ &quot;Pts&quot;_-;_-@_-"/>
    <numFmt numFmtId="204" formatCode="_-* #,##0.00\ &quot;Pts&quot;_-;\-* #,##0.00\ &quot;Pts&quot;_-;_-* &quot;-&quot;??\ &quot;Pts&quot;_-;_-@_-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000%"/>
    <numFmt numFmtId="208" formatCode="0.0000000%"/>
    <numFmt numFmtId="209" formatCode="_-* #,##0_?_._-;\-* #,##0_?_._-;_-* &quot;-&quot;_?_._-;_-@_-"/>
    <numFmt numFmtId="210" formatCode="_-* #,##0.00_?_._-;\-* #,##0.00_?_._-;_-* &quot;-&quot;??_?_._-;_-@_-"/>
    <numFmt numFmtId="211" formatCode="0.0%"/>
    <numFmt numFmtId="212" formatCode="#,##0______;;&quot;------------      &quot;"/>
    <numFmt numFmtId="213" formatCode="&quot;P&quot;#,##0.00;\-&quot;P&quot;#,##0.00"/>
    <numFmt numFmtId="214" formatCode="_-&quot;P&quot;* #,##0_-;\-&quot;P&quot;* #,##0_-;_-&quot;P&quot;* &quot;-&quot;_-;_-@_-"/>
    <numFmt numFmtId="215" formatCode="#,##0.000_ ;\-#,##0.000\ "/>
    <numFmt numFmtId="216" formatCode="_(* #,##0_);_(* \(#,##0\);_(* &quot;-&quot;??_);_(@_)"/>
    <numFmt numFmtId="217" formatCode="0.000"/>
    <numFmt numFmtId="218" formatCode="&quot;$&quot;#,##0.00_);[Red]\(&quot;$&quot;#,##0.00\)"/>
    <numFmt numFmtId="219" formatCode="\60\4\7\:"/>
    <numFmt numFmtId="220" formatCode="&quot;$&quot;#,##0_);[Red]\(&quot;$&quot;#,##0\)"/>
    <numFmt numFmtId="221" formatCode="&quot;$&quot;#,\);\(&quot;$&quot;#,##0\)"/>
    <numFmt numFmtId="222" formatCode="mmmm\ d\,\ yyyy"/>
    <numFmt numFmtId="223" formatCode="&quot;$&quot;#,\);\(&quot;$&quot;#,\)"/>
    <numFmt numFmtId="224" formatCode="#,##0.000_ ;[Red]\-#,##0.000\ "/>
    <numFmt numFmtId="225" formatCode="#,##0.0000_ ;[Red]\-#,##0.0000\ "/>
    <numFmt numFmtId="226" formatCode="#,##0.000000_ ;[Red]\-#,##0.000000\ "/>
    <numFmt numFmtId="227" formatCode="_-* #,##0.000_р_._-;\-* #,##0.000_р_._-;_-* &quot;-&quot;_р_._-;_-@_-"/>
    <numFmt numFmtId="228" formatCode="_(* #,##0_);_(* \(#,##0\);_(* &quot;-&quot;_);_(@_)"/>
  </numFmts>
  <fonts count="15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Geneva"/>
      <family val="0"/>
    </font>
    <font>
      <sz val="6"/>
      <name val="Courier"/>
      <family val="1"/>
    </font>
    <font>
      <sz val="10"/>
      <name val="Courier"/>
      <family val="1"/>
    </font>
    <font>
      <sz val="10"/>
      <name val="Times New Roman Cyr"/>
      <family val="1"/>
    </font>
    <font>
      <sz val="10"/>
      <name val="Garamond"/>
      <family val="1"/>
    </font>
    <font>
      <sz val="8.25"/>
      <name val="Helv"/>
      <family val="0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NTTimes/Cyrillic"/>
      <family val="0"/>
    </font>
    <font>
      <sz val="10"/>
      <color indexed="12"/>
      <name val="Arial"/>
      <family val="2"/>
    </font>
    <font>
      <sz val="10"/>
      <name val="PragmaticaCTT"/>
      <family val="0"/>
    </font>
    <font>
      <sz val="12"/>
      <name val="Times New Roman"/>
      <family val="1"/>
    </font>
    <font>
      <sz val="8"/>
      <color indexed="57"/>
      <name val="Arial"/>
      <family val="2"/>
    </font>
    <font>
      <sz val="12"/>
      <name val="TimesET"/>
      <family val="0"/>
    </font>
    <font>
      <u val="single"/>
      <sz val="10"/>
      <name val="Arial"/>
      <family val="2"/>
    </font>
    <font>
      <i/>
      <sz val="12"/>
      <name val="Tms Rmn"/>
      <family val="0"/>
    </font>
    <font>
      <sz val="11"/>
      <name val="Univers"/>
      <family val="0"/>
    </font>
    <font>
      <sz val="10"/>
      <color indexed="63"/>
      <name val="Helv"/>
      <family val="0"/>
    </font>
    <font>
      <sz val="11"/>
      <color indexed="62"/>
      <name val="Calibri"/>
      <family val="2"/>
    </font>
    <font>
      <b/>
      <sz val="8"/>
      <name val="Arial Cyr"/>
      <family val="2"/>
    </font>
    <font>
      <u val="single"/>
      <sz val="8"/>
      <color indexed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4"/>
      <color indexed="10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1"/>
      <color indexed="63"/>
      <name val="Arial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FF"/>
      <name val="Calibri"/>
      <family val="2"/>
    </font>
    <font>
      <b/>
      <sz val="11"/>
      <color rgb="FF222222"/>
      <name val="Arial"/>
      <family val="2"/>
    </font>
    <font>
      <sz val="10"/>
      <color theme="0"/>
      <name val="Calibri"/>
      <family val="2"/>
    </font>
    <font>
      <sz val="9"/>
      <color theme="0"/>
      <name val="Arial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lightUp">
        <bgColor indexed="9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dotted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6" fontId="8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40" fillId="0" borderId="0">
      <alignment/>
      <protection locked="0"/>
    </xf>
    <xf numFmtId="187" fontId="41" fillId="0" borderId="0">
      <alignment/>
      <protection locked="0"/>
    </xf>
    <xf numFmtId="187" fontId="41" fillId="0" borderId="0">
      <alignment/>
      <protection locked="0"/>
    </xf>
    <xf numFmtId="187" fontId="41" fillId="0" borderId="0">
      <alignment/>
      <protection locked="0"/>
    </xf>
    <xf numFmtId="187" fontId="41" fillId="0" borderId="0">
      <alignment/>
      <protection locked="0"/>
    </xf>
    <xf numFmtId="0" fontId="10" fillId="0" borderId="0">
      <alignment/>
      <protection/>
    </xf>
    <xf numFmtId="4" fontId="4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8" fontId="14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0" fontId="43" fillId="2" borderId="2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1" fillId="0" borderId="3">
      <alignment/>
      <protection locked="0"/>
    </xf>
    <xf numFmtId="0" fontId="11" fillId="0" borderId="3">
      <alignment/>
      <protection locked="0"/>
    </xf>
    <xf numFmtId="189" fontId="8" fillId="0" borderId="0">
      <alignment horizontal="center"/>
      <protection/>
    </xf>
    <xf numFmtId="190" fontId="44" fillId="0" borderId="4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5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5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5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1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15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5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15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15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15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5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15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16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16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6" fillId="3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6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16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16" fillId="3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0" fillId="0" borderId="0">
      <alignment horizontal="right"/>
      <protection/>
    </xf>
    <xf numFmtId="187" fontId="41" fillId="0" borderId="0">
      <alignment/>
      <protection locked="0"/>
    </xf>
    <xf numFmtId="187" fontId="41" fillId="0" borderId="0">
      <alignment/>
      <protection locked="0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>
      <alignment/>
      <protection/>
    </xf>
    <xf numFmtId="191" fontId="46" fillId="0" borderId="0">
      <alignment horizontal="right"/>
      <protection/>
    </xf>
    <xf numFmtId="192" fontId="46" fillId="0" borderId="0">
      <alignment horizontal="right" vertical="center"/>
      <protection/>
    </xf>
    <xf numFmtId="191" fontId="46" fillId="0" borderId="0">
      <alignment horizontal="right" vertical="center"/>
      <protection/>
    </xf>
    <xf numFmtId="0" fontId="22" fillId="0" borderId="0">
      <alignment vertical="center"/>
      <protection/>
    </xf>
    <xf numFmtId="0" fontId="47" fillId="0" borderId="0">
      <alignment horizontal="left"/>
      <protection/>
    </xf>
    <xf numFmtId="193" fontId="48" fillId="5" borderId="0">
      <alignment horizontal="right" vertical="center"/>
      <protection/>
    </xf>
    <xf numFmtId="194" fontId="48" fillId="5" borderId="0">
      <alignment horizontal="right"/>
      <protection/>
    </xf>
    <xf numFmtId="195" fontId="48" fillId="0" borderId="0">
      <alignment horizontal="right" vertical="center"/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166" fontId="10" fillId="0" borderId="0" applyFill="0" applyBorder="0" applyAlignment="0">
      <protection/>
    </xf>
    <xf numFmtId="167" fontId="14" fillId="0" borderId="0" applyFill="0" applyBorder="0" applyAlignment="0">
      <protection/>
    </xf>
    <xf numFmtId="167" fontId="14" fillId="0" borderId="0" applyFill="0" applyBorder="0" applyAlignment="0">
      <protection/>
    </xf>
    <xf numFmtId="167" fontId="14" fillId="0" borderId="0" applyFill="0" applyBorder="0" applyAlignment="0">
      <protection/>
    </xf>
    <xf numFmtId="168" fontId="15" fillId="0" borderId="0" applyFill="0" applyBorder="0" applyAlignment="0">
      <protection/>
    </xf>
    <xf numFmtId="169" fontId="15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0" fontId="5" fillId="40" borderId="6" applyNumberFormat="0" applyAlignment="0" applyProtection="0"/>
    <xf numFmtId="0" fontId="5" fillId="40" borderId="6" applyNumberFormat="0" applyAlignment="0" applyProtection="0"/>
    <xf numFmtId="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18" fontId="14" fillId="0" borderId="0" applyFont="0" applyFill="0" applyBorder="0" applyAlignment="0" applyProtection="0"/>
    <xf numFmtId="196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75" fillId="0" borderId="0" applyFont="0" applyFill="0" applyBorder="0" applyAlignment="0" applyProtection="0"/>
    <xf numFmtId="3" fontId="14" fillId="0" borderId="0" applyFill="0" applyBorder="0" applyAlignment="0" applyProtection="0"/>
    <xf numFmtId="220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8" fontId="14" fillId="0" borderId="0" applyFont="0" applyFill="0" applyBorder="0" applyAlignment="0" applyProtection="0"/>
    <xf numFmtId="37" fontId="50" fillId="0" borderId="7" applyFont="0" applyFill="0" applyBorder="0">
      <alignment/>
      <protection locked="0"/>
    </xf>
    <xf numFmtId="221" fontId="41" fillId="0" borderId="0" applyFont="0" applyFill="0" applyBorder="0" applyAlignment="0" applyProtection="0"/>
    <xf numFmtId="197" fontId="14" fillId="0" borderId="0" applyFill="0" applyBorder="0" applyAlignment="0" applyProtection="0"/>
    <xf numFmtId="172" fontId="14" fillId="41" borderId="0" applyFont="0" applyFill="0" applyBorder="0" applyAlignment="0" applyProtection="0"/>
    <xf numFmtId="172" fontId="14" fillId="41" borderId="0" applyFont="0" applyFill="0" applyBorder="0" applyAlignment="0" applyProtection="0"/>
    <xf numFmtId="222" fontId="14" fillId="0" borderId="0" applyFill="0" applyBorder="0" applyAlignment="0" applyProtection="0"/>
    <xf numFmtId="14" fontId="1" fillId="0" borderId="0" applyFill="0" applyBorder="0" applyAlignment="0">
      <protection/>
    </xf>
    <xf numFmtId="173" fontId="14" fillId="41" borderId="0" applyFont="0" applyFill="0" applyBorder="0" applyAlignment="0" applyProtection="0"/>
    <xf numFmtId="173" fontId="14" fillId="41" borderId="0" applyFont="0" applyFill="0" applyBorder="0" applyAlignment="0" applyProtection="0"/>
    <xf numFmtId="38" fontId="17" fillId="0" borderId="8">
      <alignment vertical="center"/>
      <protection/>
    </xf>
    <xf numFmtId="19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0" fillId="0" borderId="0" applyFill="0" applyBorder="0" applyAlignment="0">
      <protection/>
    </xf>
    <xf numFmtId="166" fontId="10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200" fontId="5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4" fillId="0" borderId="0" applyFill="0" applyBorder="0" applyAlignment="0" applyProtection="0"/>
    <xf numFmtId="10" fontId="20" fillId="42" borderId="9" applyNumberFormat="0" applyFill="0" applyBorder="0" applyAlignment="0" applyProtection="0"/>
    <xf numFmtId="10" fontId="20" fillId="42" borderId="9" applyNumberFormat="0" applyFill="0" applyBorder="0" applyAlignment="0" applyProtection="0"/>
    <xf numFmtId="10" fontId="20" fillId="42" borderId="9" applyNumberFormat="0" applyFill="0" applyBorder="0" applyAlignment="0" applyProtection="0"/>
    <xf numFmtId="0" fontId="53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38" fontId="22" fillId="39" borderId="0" applyNumberFormat="0" applyBorder="0" applyAlignment="0" applyProtection="0"/>
    <xf numFmtId="0" fontId="23" fillId="0" borderId="10" applyNumberFormat="0" applyAlignment="0" applyProtection="0"/>
    <xf numFmtId="0" fontId="23" fillId="0" borderId="10" applyNumberFormat="0" applyAlignment="0" applyProtection="0"/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14" fontId="24" fillId="7" borderId="12">
      <alignment horizontal="center" vertical="center" wrapText="1"/>
      <protection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187" fontId="40" fillId="0" borderId="0">
      <alignment/>
      <protection locked="0"/>
    </xf>
    <xf numFmtId="187" fontId="41" fillId="0" borderId="0">
      <alignment/>
      <protection locked="0"/>
    </xf>
    <xf numFmtId="174" fontId="14" fillId="2" borderId="9" applyNumberFormat="0" applyFont="0" applyAlignment="0">
      <protection locked="0"/>
    </xf>
    <xf numFmtId="10" fontId="22" fillId="43" borderId="9" applyNumberFormat="0" applyBorder="0" applyAlignment="0" applyProtection="0"/>
    <xf numFmtId="10" fontId="22" fillId="43" borderId="9" applyNumberFormat="0" applyBorder="0" applyAlignment="0" applyProtection="0"/>
    <xf numFmtId="10" fontId="22" fillId="43" borderId="9" applyNumberFormat="0" applyBorder="0" applyAlignment="0" applyProtection="0"/>
    <xf numFmtId="174" fontId="14" fillId="2" borderId="9" applyNumberFormat="0" applyFont="0" applyAlignment="0">
      <protection locked="0"/>
    </xf>
    <xf numFmtId="174" fontId="14" fillId="2" borderId="9" applyNumberFormat="0" applyFont="0" applyAlignment="0">
      <protection locked="0"/>
    </xf>
    <xf numFmtId="41" fontId="8" fillId="44" borderId="9" applyBorder="0">
      <alignment horizontal="center" vertical="center"/>
      <protection locked="0"/>
    </xf>
    <xf numFmtId="170" fontId="10" fillId="0" borderId="0" applyFill="0" applyBorder="0" applyAlignment="0">
      <protection/>
    </xf>
    <xf numFmtId="166" fontId="10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75" fontId="14" fillId="0" borderId="0">
      <alignment/>
      <protection/>
    </xf>
    <xf numFmtId="175" fontId="14" fillId="0" borderId="0">
      <alignment/>
      <protection/>
    </xf>
    <xf numFmtId="175" fontId="14" fillId="0" borderId="0">
      <alignment/>
      <protection/>
    </xf>
    <xf numFmtId="175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176" fontId="14" fillId="41" borderId="0">
      <alignment/>
      <protection/>
    </xf>
    <xf numFmtId="176" fontId="14" fillId="41" borderId="0">
      <alignment/>
      <protection/>
    </xf>
    <xf numFmtId="176" fontId="14" fillId="41" borderId="0">
      <alignment/>
      <protection/>
    </xf>
    <xf numFmtId="187" fontId="41" fillId="0" borderId="0">
      <alignment/>
      <protection locked="0"/>
    </xf>
    <xf numFmtId="187" fontId="41" fillId="0" borderId="0">
      <alignment/>
      <protection locked="0"/>
    </xf>
    <xf numFmtId="207" fontId="54" fillId="0" borderId="0" applyFont="0" applyFill="0" applyBorder="0" applyAlignment="0" applyProtection="0"/>
    <xf numFmtId="208" fontId="54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2" fillId="41" borderId="0">
      <alignment/>
      <protection/>
    </xf>
    <xf numFmtId="0" fontId="32" fillId="41" borderId="0">
      <alignment/>
      <protection/>
    </xf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23" fontId="41" fillId="0" borderId="0" applyFont="0" applyFill="0" applyBorder="0" applyAlignment="0" applyProtection="0"/>
    <xf numFmtId="37" fontId="55" fillId="2" borderId="19">
      <alignment/>
      <protection/>
    </xf>
    <xf numFmtId="179" fontId="10" fillId="0" borderId="0">
      <alignment/>
      <protection/>
    </xf>
    <xf numFmtId="180" fontId="10" fillId="0" borderId="0">
      <alignment/>
      <protection/>
    </xf>
    <xf numFmtId="37" fontId="55" fillId="2" borderId="19">
      <alignment/>
      <protection/>
    </xf>
    <xf numFmtId="211" fontId="14" fillId="0" borderId="0" applyFont="0" applyFill="0" applyBorder="0" applyAlignment="0" applyProtection="0"/>
    <xf numFmtId="170" fontId="10" fillId="0" borderId="0" applyFill="0" applyBorder="0" applyAlignment="0">
      <protection/>
    </xf>
    <xf numFmtId="166" fontId="10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0" fontId="30" fillId="0" borderId="0" applyNumberFormat="0">
      <alignment horizontal="left"/>
      <protection/>
    </xf>
    <xf numFmtId="212" fontId="56" fillId="0" borderId="20" applyBorder="0">
      <alignment horizontal="right"/>
      <protection locked="0"/>
    </xf>
    <xf numFmtId="3" fontId="8" fillId="0" borderId="0" applyFont="0" applyFill="0" applyBorder="0" applyAlignment="0">
      <protection/>
    </xf>
    <xf numFmtId="0" fontId="14" fillId="39" borderId="0" applyNumberFormat="0" applyFont="0" applyBorder="0" applyAlignment="0" applyProtection="0"/>
    <xf numFmtId="0" fontId="14" fillId="0" borderId="0" applyNumberFormat="0" applyFont="0" applyBorder="0" applyAlignment="0" applyProtection="0"/>
    <xf numFmtId="0" fontId="30" fillId="0" borderId="0" applyNumberFormat="0" applyFill="0" applyBorder="0" applyAlignment="0" applyProtection="0"/>
    <xf numFmtId="181" fontId="33" fillId="0" borderId="9">
      <alignment horizontal="left" vertical="center"/>
      <protection locked="0"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17" fillId="0" borderId="0" applyNumberFormat="0" applyFont="0" applyFill="0" applyBorder="0" applyAlignment="0" applyProtection="0"/>
    <xf numFmtId="0" fontId="58" fillId="0" borderId="0">
      <alignment/>
      <protection/>
    </xf>
    <xf numFmtId="0" fontId="17" fillId="0" borderId="0" applyNumberFormat="0" applyFont="0" applyFill="0" applyBorder="0" applyAlignment="0" applyProtection="0"/>
    <xf numFmtId="0" fontId="58" fillId="0" borderId="0">
      <alignment/>
      <protection/>
    </xf>
    <xf numFmtId="49" fontId="1" fillId="0" borderId="0" applyFill="0" applyBorder="0" applyAlignment="0">
      <protection/>
    </xf>
    <xf numFmtId="182" fontId="15" fillId="0" borderId="0" applyFill="0" applyBorder="0" applyAlignment="0">
      <protection/>
    </xf>
    <xf numFmtId="183" fontId="15" fillId="0" borderId="0" applyFill="0" applyBorder="0" applyAlignment="0">
      <protection/>
    </xf>
    <xf numFmtId="0" fontId="34" fillId="0" borderId="0" applyFill="0" applyBorder="0" applyProtection="0">
      <alignment horizontal="left" vertical="top"/>
    </xf>
    <xf numFmtId="0" fontId="34" fillId="0" borderId="0" applyFill="0" applyBorder="0" applyProtection="0">
      <alignment horizontal="left" vertical="top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43" fontId="14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6" fillId="4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16" fillId="4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16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16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16" fillId="4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16" fillId="5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4" fontId="8" fillId="0" borderId="22">
      <alignment/>
      <protection locked="0"/>
    </xf>
    <xf numFmtId="0" fontId="117" fillId="51" borderId="23" applyNumberFormat="0" applyAlignment="0" applyProtection="0"/>
    <xf numFmtId="0" fontId="59" fillId="8" borderId="5" applyNumberFormat="0" applyAlignment="0" applyProtection="0"/>
    <xf numFmtId="0" fontId="59" fillId="8" borderId="5" applyNumberFormat="0" applyAlignment="0" applyProtection="0"/>
    <xf numFmtId="0" fontId="59" fillId="8" borderId="5" applyNumberFormat="0" applyAlignment="0" applyProtection="0"/>
    <xf numFmtId="3" fontId="60" fillId="0" borderId="0">
      <alignment horizontal="center" vertical="center" textRotation="90" wrapText="1"/>
      <protection/>
    </xf>
    <xf numFmtId="215" fontId="8" fillId="0" borderId="9">
      <alignment vertical="top" wrapText="1"/>
      <protection/>
    </xf>
    <xf numFmtId="0" fontId="118" fillId="52" borderId="24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119" fillId="52" borderId="23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7" fillId="39" borderId="1">
      <alignment/>
      <protection/>
    </xf>
    <xf numFmtId="4" fontId="62" fillId="0" borderId="9">
      <alignment horizontal="left" vertical="center"/>
      <protection/>
    </xf>
    <xf numFmtId="4" fontId="62" fillId="0" borderId="9">
      <alignment/>
      <protection/>
    </xf>
    <xf numFmtId="4" fontId="62" fillId="53" borderId="9">
      <alignment/>
      <protection/>
    </xf>
    <xf numFmtId="4" fontId="62" fillId="53" borderId="9">
      <alignment/>
      <protection/>
    </xf>
    <xf numFmtId="4" fontId="62" fillId="54" borderId="9">
      <alignment/>
      <protection/>
    </xf>
    <xf numFmtId="4" fontId="37" fillId="55" borderId="9">
      <alignment/>
      <protection/>
    </xf>
    <xf numFmtId="0" fontId="37" fillId="39" borderId="1">
      <alignment/>
      <protection/>
    </xf>
    <xf numFmtId="165" fontId="72" fillId="0" borderId="9">
      <alignment vertical="top" wrapText="1"/>
      <protection/>
    </xf>
    <xf numFmtId="216" fontId="8" fillId="0" borderId="9">
      <alignment vertical="top" wrapText="1"/>
      <protection/>
    </xf>
    <xf numFmtId="14" fontId="8" fillId="0" borderId="0">
      <alignment horizontal="right"/>
      <protection/>
    </xf>
    <xf numFmtId="14" fontId="8" fillId="0" borderId="0">
      <alignment horizontal="right"/>
      <protection/>
    </xf>
    <xf numFmtId="14" fontId="7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5" borderId="0" applyNumberFormat="0">
      <alignment/>
      <protection/>
    </xf>
    <xf numFmtId="0" fontId="122" fillId="0" borderId="25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23" fillId="0" borderId="26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124" fillId="0" borderId="27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1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4" fontId="38" fillId="7" borderId="22">
      <alignment/>
      <protection/>
    </xf>
    <xf numFmtId="0" fontId="14" fillId="0" borderId="9">
      <alignment horizontal="right"/>
      <protection/>
    </xf>
    <xf numFmtId="0" fontId="14" fillId="0" borderId="9">
      <alignment horizontal="right"/>
      <protection/>
    </xf>
    <xf numFmtId="0" fontId="14" fillId="0" borderId="9">
      <alignment horizontal="right"/>
      <protection/>
    </xf>
    <xf numFmtId="0" fontId="125" fillId="0" borderId="28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217" fontId="64" fillId="0" borderId="9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6" fillId="56" borderId="29" applyNumberFormat="0" applyAlignment="0" applyProtection="0"/>
    <xf numFmtId="0" fontId="5" fillId="40" borderId="6" applyNumberFormat="0" applyAlignment="0" applyProtection="0"/>
    <xf numFmtId="0" fontId="5" fillId="40" borderId="6" applyNumberFormat="0" applyAlignment="0" applyProtection="0"/>
    <xf numFmtId="0" fontId="1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9">
      <alignment/>
      <protection/>
    </xf>
    <xf numFmtId="0" fontId="14" fillId="0" borderId="9">
      <alignment/>
      <protection/>
    </xf>
    <xf numFmtId="7" fontId="65" fillId="0" borderId="0">
      <alignment/>
      <protection/>
    </xf>
    <xf numFmtId="7" fontId="65" fillId="0" borderId="0">
      <alignment/>
      <protection/>
    </xf>
    <xf numFmtId="7" fontId="65" fillId="0" borderId="0">
      <alignment/>
      <protection/>
    </xf>
    <xf numFmtId="0" fontId="128" fillId="5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9" fontId="60" fillId="0" borderId="9">
      <alignment horizontal="right" vertical="top" wrapText="1"/>
      <protection/>
    </xf>
    <xf numFmtId="190" fontId="66" fillId="0" borderId="0">
      <alignment horizontal="right" vertical="top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3" fontId="8" fillId="0" borderId="0">
      <alignment/>
      <protection/>
    </xf>
    <xf numFmtId="0" fontId="8" fillId="0" borderId="0">
      <alignment/>
      <protection/>
    </xf>
    <xf numFmtId="173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 vertical="center"/>
      <protection/>
    </xf>
    <xf numFmtId="173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173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9" fillId="5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65" fontId="67" fillId="0" borderId="9">
      <alignment vertical="top"/>
      <protection/>
    </xf>
    <xf numFmtId="0" fontId="1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9" borderId="30" applyNumberFormat="0" applyFont="0" applyAlignment="0" applyProtection="0"/>
    <xf numFmtId="0" fontId="14" fillId="43" borderId="17" applyNumberFormat="0" applyFont="0" applyAlignment="0" applyProtection="0"/>
    <xf numFmtId="0" fontId="8" fillId="43" borderId="17" applyNumberFormat="0" applyFont="0" applyAlignment="0" applyProtection="0"/>
    <xf numFmtId="0" fontId="14" fillId="43" borderId="17" applyNumberFormat="0" applyFont="0" applyAlignment="0" applyProtection="0"/>
    <xf numFmtId="49" fontId="37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7" fontId="68" fillId="0" borderId="9">
      <alignment/>
      <protection/>
    </xf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0" fontId="131" fillId="0" borderId="31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" fillId="0" borderId="0">
      <alignment vertical="justify"/>
      <protection/>
    </xf>
    <xf numFmtId="49" fontId="8" fillId="0" borderId="9" applyNumberFormat="0" applyFill="0" applyAlignment="0" applyProtection="0"/>
    <xf numFmtId="49" fontId="37" fillId="0" borderId="9" applyNumberFormat="0" applyFill="0" applyAlignment="0" applyProtection="0"/>
    <xf numFmtId="0" fontId="1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69" fillId="0" borderId="0" applyFont="0" applyFill="0" applyBorder="0" applyAlignment="0" applyProtection="0"/>
    <xf numFmtId="186" fontId="70" fillId="0" borderId="0" applyFont="0" applyFill="0" applyBorder="0" applyProtection="0">
      <alignment horizontal="right" vertical="top"/>
    </xf>
    <xf numFmtId="164" fontId="71" fillId="0" borderId="32" applyFont="0" applyFill="0" applyBorder="0" applyAlignment="0" applyProtection="0"/>
    <xf numFmtId="164" fontId="69" fillId="0" borderId="0" applyFont="0" applyFill="0" applyBorder="0" applyAlignment="0" applyProtection="0"/>
    <xf numFmtId="185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3" fillId="6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4" fontId="14" fillId="0" borderId="9">
      <alignment/>
      <protection/>
    </xf>
    <xf numFmtId="4" fontId="14" fillId="0" borderId="9">
      <alignment/>
      <protection/>
    </xf>
    <xf numFmtId="4" fontId="14" fillId="0" borderId="9">
      <alignment/>
      <protection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9" fontId="72" fillId="0" borderId="9">
      <alignment horizontal="center" vertical="center" wrapText="1"/>
      <protection/>
    </xf>
    <xf numFmtId="49" fontId="73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134" fillId="41" borderId="0" xfId="0" applyFont="1" applyFill="1" applyAlignment="1">
      <alignment/>
    </xf>
    <xf numFmtId="0" fontId="0" fillId="8" borderId="0" xfId="0" applyFill="1" applyAlignment="1">
      <alignment/>
    </xf>
    <xf numFmtId="0" fontId="100" fillId="61" borderId="0" xfId="0" applyFont="1" applyFill="1" applyBorder="1" applyAlignment="1" applyProtection="1">
      <alignment horizontal="left" indent="1"/>
      <protection/>
    </xf>
    <xf numFmtId="0" fontId="0" fillId="61" borderId="0" xfId="0" applyFill="1" applyAlignment="1">
      <alignment/>
    </xf>
    <xf numFmtId="0" fontId="0" fillId="41" borderId="0" xfId="0" applyFill="1" applyAlignment="1">
      <alignment/>
    </xf>
    <xf numFmtId="0" fontId="134" fillId="61" borderId="0" xfId="0" applyFont="1" applyFill="1" applyAlignment="1">
      <alignment/>
    </xf>
    <xf numFmtId="0" fontId="134" fillId="39" borderId="9" xfId="0" applyFont="1" applyFill="1" applyBorder="1" applyAlignment="1">
      <alignment/>
    </xf>
    <xf numFmtId="0" fontId="0" fillId="41" borderId="9" xfId="0" applyFill="1" applyBorder="1" applyAlignment="1">
      <alignment/>
    </xf>
    <xf numFmtId="0" fontId="134" fillId="61" borderId="0" xfId="0" applyFont="1" applyFill="1" applyAlignment="1">
      <alignment horizontal="left" indent="1"/>
    </xf>
    <xf numFmtId="0" fontId="135" fillId="61" borderId="0" xfId="0" applyFont="1" applyFill="1" applyAlignment="1">
      <alignment horizontal="right"/>
    </xf>
    <xf numFmtId="0" fontId="0" fillId="41" borderId="9" xfId="0" applyNumberFormat="1" applyFill="1" applyBorder="1" applyAlignment="1">
      <alignment/>
    </xf>
    <xf numFmtId="164" fontId="0" fillId="41" borderId="33" xfId="0" applyNumberFormat="1" applyFill="1" applyBorder="1" applyAlignment="1" applyProtection="1">
      <alignment horizontal="right"/>
      <protection locked="0"/>
    </xf>
    <xf numFmtId="49" fontId="134" fillId="39" borderId="9" xfId="0" applyNumberFormat="1" applyFont="1" applyFill="1" applyBorder="1" applyAlignment="1">
      <alignment/>
    </xf>
    <xf numFmtId="49" fontId="0" fillId="41" borderId="9" xfId="0" applyNumberFormat="1" applyFill="1" applyBorder="1" applyAlignment="1">
      <alignment/>
    </xf>
    <xf numFmtId="0" fontId="134" fillId="62" borderId="9" xfId="0" applyFont="1" applyFill="1" applyBorder="1" applyAlignment="1" applyProtection="1">
      <alignment horizontal="left" wrapText="1" indent="1"/>
      <protection hidden="1"/>
    </xf>
    <xf numFmtId="164" fontId="134" fillId="62" borderId="9" xfId="0" applyNumberFormat="1" applyFont="1" applyFill="1" applyBorder="1" applyAlignment="1" applyProtection="1">
      <alignment horizontal="right"/>
      <protection hidden="1"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36" xfId="0" applyFill="1" applyBorder="1" applyAlignment="1">
      <alignment/>
    </xf>
    <xf numFmtId="0" fontId="0" fillId="41" borderId="4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0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134" fillId="62" borderId="9" xfId="0" applyNumberFormat="1" applyFont="1" applyFill="1" applyBorder="1" applyAlignment="1" applyProtection="1">
      <alignment horizontal="center" wrapText="1"/>
      <protection/>
    </xf>
    <xf numFmtId="0" fontId="0" fillId="41" borderId="9" xfId="0" applyNumberFormat="1" applyFill="1" applyBorder="1" applyAlignment="1" applyProtection="1">
      <alignment horizontal="left" wrapText="1" indent="1"/>
      <protection hidden="1"/>
    </xf>
    <xf numFmtId="0" fontId="134" fillId="62" borderId="9" xfId="0" applyNumberFormat="1" applyFont="1" applyFill="1" applyBorder="1" applyAlignment="1" applyProtection="1">
      <alignment horizontal="left" wrapText="1" indent="1"/>
      <protection hidden="1"/>
    </xf>
    <xf numFmtId="0" fontId="134" fillId="63" borderId="37" xfId="607" applyNumberFormat="1" applyFont="1" applyFill="1" applyBorder="1" applyAlignment="1" applyProtection="1">
      <alignment horizontal="center" vertical="center" wrapText="1"/>
      <protection hidden="1"/>
    </xf>
    <xf numFmtId="0" fontId="0" fillId="41" borderId="0" xfId="0" applyFill="1" applyAlignment="1" applyProtection="1">
      <alignment horizontal="left" indent="3"/>
      <protection hidden="1"/>
    </xf>
    <xf numFmtId="0" fontId="134" fillId="62" borderId="9" xfId="0" applyNumberFormat="1" applyFont="1" applyFill="1" applyBorder="1" applyAlignment="1" applyProtection="1">
      <alignment horizontal="center" wrapText="1"/>
      <protection hidden="1"/>
    </xf>
    <xf numFmtId="0" fontId="0" fillId="64" borderId="0" xfId="0" applyFill="1" applyAlignment="1">
      <alignment/>
    </xf>
    <xf numFmtId="0" fontId="0" fillId="64" borderId="0" xfId="0" applyFill="1" applyAlignment="1">
      <alignment/>
    </xf>
    <xf numFmtId="0" fontId="136" fillId="61" borderId="0" xfId="0" applyFont="1" applyFill="1" applyAlignment="1">
      <alignment horizontal="left" indent="1"/>
    </xf>
    <xf numFmtId="0" fontId="0" fillId="41" borderId="0" xfId="0" applyFill="1" applyBorder="1" applyAlignment="1" applyProtection="1">
      <alignment/>
      <protection/>
    </xf>
    <xf numFmtId="0" fontId="134" fillId="62" borderId="9" xfId="0" applyFont="1" applyFill="1" applyBorder="1" applyAlignment="1" applyProtection="1">
      <alignment horizontal="left" wrapText="1"/>
      <protection hidden="1"/>
    </xf>
    <xf numFmtId="0" fontId="134" fillId="62" borderId="9" xfId="0" applyFont="1" applyFill="1" applyBorder="1" applyAlignment="1" applyProtection="1">
      <alignment horizontal="left" wrapText="1" indent="2"/>
      <protection hidden="1"/>
    </xf>
    <xf numFmtId="0" fontId="134" fillId="62" borderId="9" xfId="0" applyFont="1" applyFill="1" applyBorder="1" applyAlignment="1" applyProtection="1">
      <alignment horizontal="left" wrapText="1" indent="3"/>
      <protection hidden="1"/>
    </xf>
    <xf numFmtId="0" fontId="134" fillId="62" borderId="9" xfId="0" applyFont="1" applyFill="1" applyBorder="1" applyAlignment="1" applyProtection="1">
      <alignment horizontal="left" wrapText="1" indent="4"/>
      <protection hidden="1"/>
    </xf>
    <xf numFmtId="164" fontId="0" fillId="65" borderId="33" xfId="0" applyNumberFormat="1" applyFill="1" applyBorder="1" applyAlignment="1" applyProtection="1">
      <alignment horizontal="right"/>
      <protection/>
    </xf>
    <xf numFmtId="0" fontId="134" fillId="41" borderId="9" xfId="0" applyNumberFormat="1" applyFont="1" applyFill="1" applyBorder="1" applyAlignment="1" applyProtection="1">
      <alignment horizontal="left" wrapText="1" indent="2"/>
      <protection hidden="1"/>
    </xf>
    <xf numFmtId="0" fontId="137" fillId="41" borderId="0" xfId="0" applyNumberFormat="1" applyFont="1" applyFill="1" applyBorder="1" applyAlignment="1" applyProtection="1">
      <alignment horizontal="left" wrapText="1" indent="2"/>
      <protection hidden="1"/>
    </xf>
    <xf numFmtId="0" fontId="134" fillId="15" borderId="9" xfId="0" applyFont="1" applyFill="1" applyBorder="1" applyAlignment="1">
      <alignment/>
    </xf>
    <xf numFmtId="0" fontId="136" fillId="66" borderId="38" xfId="0" applyFont="1" applyFill="1" applyBorder="1" applyAlignment="1">
      <alignment/>
    </xf>
    <xf numFmtId="0" fontId="138" fillId="66" borderId="11" xfId="0" applyFont="1" applyFill="1" applyBorder="1" applyAlignment="1">
      <alignment/>
    </xf>
    <xf numFmtId="0" fontId="138" fillId="66" borderId="39" xfId="0" applyFont="1" applyFill="1" applyBorder="1" applyAlignment="1">
      <alignment/>
    </xf>
    <xf numFmtId="49" fontId="0" fillId="41" borderId="0" xfId="0" applyNumberFormat="1" applyFill="1" applyBorder="1" applyAlignment="1">
      <alignment horizontal="center" vertical="top"/>
    </xf>
    <xf numFmtId="0" fontId="0" fillId="41" borderId="0" xfId="0" applyNumberFormat="1" applyFill="1" applyAlignment="1">
      <alignment/>
    </xf>
    <xf numFmtId="0" fontId="0" fillId="15" borderId="0" xfId="0" applyFill="1" applyAlignment="1">
      <alignment/>
    </xf>
    <xf numFmtId="0" fontId="134" fillId="15" borderId="34" xfId="0" applyFont="1" applyFill="1" applyBorder="1" applyAlignment="1">
      <alignment/>
    </xf>
    <xf numFmtId="0" fontId="134" fillId="15" borderId="36" xfId="0" applyFont="1" applyFill="1" applyBorder="1" applyAlignment="1">
      <alignment/>
    </xf>
    <xf numFmtId="0" fontId="0" fillId="41" borderId="0" xfId="0" applyFill="1" applyAlignment="1" quotePrefix="1">
      <alignment/>
    </xf>
    <xf numFmtId="0" fontId="0" fillId="41" borderId="0" xfId="0" applyNumberFormat="1" applyFill="1" applyAlignment="1" quotePrefix="1">
      <alignment/>
    </xf>
    <xf numFmtId="0" fontId="134" fillId="15" borderId="38" xfId="0" applyFont="1" applyFill="1" applyBorder="1" applyAlignment="1">
      <alignment/>
    </xf>
    <xf numFmtId="0" fontId="134" fillId="15" borderId="11" xfId="0" applyFont="1" applyFill="1" applyBorder="1" applyAlignment="1">
      <alignment/>
    </xf>
    <xf numFmtId="0" fontId="134" fillId="15" borderId="39" xfId="0" applyFont="1" applyFill="1" applyBorder="1" applyAlignment="1">
      <alignment/>
    </xf>
    <xf numFmtId="38" fontId="0" fillId="41" borderId="33" xfId="0" applyNumberFormat="1" applyFill="1" applyBorder="1" applyAlignment="1" applyProtection="1">
      <alignment horizontal="right"/>
      <protection locked="0"/>
    </xf>
    <xf numFmtId="164" fontId="0" fillId="41" borderId="0" xfId="0" applyNumberFormat="1" applyFill="1" applyBorder="1" applyAlignment="1">
      <alignment/>
    </xf>
    <xf numFmtId="49" fontId="0" fillId="5" borderId="0" xfId="0" applyNumberFormat="1" applyFill="1" applyBorder="1" applyAlignment="1">
      <alignment/>
    </xf>
    <xf numFmtId="0" fontId="0" fillId="63" borderId="40" xfId="0" applyNumberFormat="1" applyFill="1" applyBorder="1" applyAlignment="1" applyProtection="1">
      <alignment horizontal="center" vertical="center" wrapText="1"/>
      <protection hidden="1"/>
    </xf>
    <xf numFmtId="38" fontId="0" fillId="67" borderId="33" xfId="0" applyNumberFormat="1" applyFill="1" applyBorder="1" applyAlignment="1" applyProtection="1">
      <alignment horizontal="right"/>
      <protection/>
    </xf>
    <xf numFmtId="38" fontId="0" fillId="62" borderId="9" xfId="0" applyNumberFormat="1" applyFill="1" applyBorder="1" applyAlignment="1" applyProtection="1">
      <alignment horizontal="right"/>
      <protection/>
    </xf>
    <xf numFmtId="0" fontId="134" fillId="41" borderId="0" xfId="0" applyFont="1" applyFill="1" applyBorder="1" applyAlignment="1" applyProtection="1">
      <alignment horizontal="left" indent="1"/>
      <protection hidden="1"/>
    </xf>
    <xf numFmtId="164" fontId="134" fillId="62" borderId="9" xfId="0" applyNumberFormat="1" applyFont="1" applyFill="1" applyBorder="1" applyAlignment="1" applyProtection="1">
      <alignment horizontal="right" indent="1"/>
      <protection/>
    </xf>
    <xf numFmtId="164" fontId="0" fillId="41" borderId="41" xfId="0" applyNumberFormat="1" applyFill="1" applyBorder="1" applyAlignment="1">
      <alignment/>
    </xf>
    <xf numFmtId="0" fontId="0" fillId="41" borderId="0" xfId="0" applyFill="1" applyBorder="1" applyAlignment="1">
      <alignment horizontal="center" vertical="top"/>
    </xf>
    <xf numFmtId="0" fontId="0" fillId="41" borderId="38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39" xfId="0" applyFill="1" applyBorder="1" applyAlignment="1">
      <alignment/>
    </xf>
    <xf numFmtId="0" fontId="139" fillId="41" borderId="0" xfId="0" applyFont="1" applyFill="1" applyAlignment="1">
      <alignment horizontal="left" indent="1"/>
    </xf>
    <xf numFmtId="0" fontId="0" fillId="63" borderId="37" xfId="0" applyNumberFormat="1" applyFill="1" applyBorder="1" applyAlignment="1">
      <alignment vertical="center" wrapText="1"/>
    </xf>
    <xf numFmtId="0" fontId="0" fillId="63" borderId="34" xfId="0" applyNumberFormat="1" applyFill="1" applyBorder="1" applyAlignment="1">
      <alignment horizontal="center" vertical="center" wrapText="1"/>
    </xf>
    <xf numFmtId="0" fontId="0" fillId="63" borderId="37" xfId="0" applyNumberFormat="1" applyFill="1" applyBorder="1" applyAlignment="1">
      <alignment horizontal="center" vertical="center" wrapText="1"/>
    </xf>
    <xf numFmtId="0" fontId="0" fillId="41" borderId="2" xfId="0" applyFill="1" applyBorder="1" applyAlignment="1">
      <alignment/>
    </xf>
    <xf numFmtId="0" fontId="0" fillId="64" borderId="0" xfId="0" applyFill="1" applyAlignment="1">
      <alignment horizontal="left"/>
    </xf>
    <xf numFmtId="0" fontId="0" fillId="63" borderId="40" xfId="0" applyNumberFormat="1" applyFill="1" applyBorder="1" applyAlignment="1">
      <alignment vertical="center" wrapText="1"/>
    </xf>
    <xf numFmtId="0" fontId="0" fillId="63" borderId="9" xfId="0" applyNumberFormat="1" applyFill="1" applyBorder="1" applyAlignment="1">
      <alignment horizontal="center" vertical="center" wrapText="1"/>
    </xf>
    <xf numFmtId="164" fontId="134" fillId="62" borderId="9" xfId="0" applyNumberFormat="1" applyFont="1" applyFill="1" applyBorder="1" applyAlignment="1">
      <alignment horizontal="right" indent="1"/>
    </xf>
    <xf numFmtId="38" fontId="0" fillId="67" borderId="33" xfId="0" applyNumberFormat="1" applyFill="1" applyBorder="1" applyAlignment="1">
      <alignment horizontal="right"/>
    </xf>
    <xf numFmtId="0" fontId="0" fillId="41" borderId="9" xfId="0" applyNumberFormat="1" applyFill="1" applyBorder="1" applyAlignment="1" applyProtection="1">
      <alignment horizontal="left" wrapText="1" indent="3"/>
      <protection hidden="1"/>
    </xf>
    <xf numFmtId="164" fontId="140" fillId="68" borderId="0" xfId="600" applyNumberFormat="1" applyFont="1" applyFill="1" applyBorder="1" applyAlignment="1">
      <alignment horizontal="right"/>
      <protection/>
    </xf>
    <xf numFmtId="0" fontId="140" fillId="41" borderId="0" xfId="0" applyFont="1" applyFill="1" applyAlignment="1">
      <alignment/>
    </xf>
    <xf numFmtId="38" fontId="140" fillId="41" borderId="0" xfId="0" applyNumberFormat="1" applyFont="1" applyFill="1" applyAlignment="1">
      <alignment/>
    </xf>
    <xf numFmtId="0" fontId="141" fillId="61" borderId="0" xfId="0" applyFont="1" applyFill="1" applyAlignment="1">
      <alignment horizontal="center"/>
    </xf>
    <xf numFmtId="0" fontId="0" fillId="41" borderId="9" xfId="0" applyNumberFormat="1" applyFont="1" applyFill="1" applyBorder="1" applyAlignment="1" applyProtection="1">
      <alignment horizontal="center" wrapText="1"/>
      <protection/>
    </xf>
    <xf numFmtId="0" fontId="0" fillId="61" borderId="0" xfId="0" applyFont="1" applyFill="1" applyAlignment="1">
      <alignment/>
    </xf>
    <xf numFmtId="0" fontId="0" fillId="41" borderId="9" xfId="0" applyNumberFormat="1" applyFont="1" applyFill="1" applyBorder="1" applyAlignment="1" applyProtection="1">
      <alignment horizontal="center" wrapText="1"/>
      <protection hidden="1"/>
    </xf>
    <xf numFmtId="0" fontId="0" fillId="61" borderId="0" xfId="0" applyFont="1" applyFill="1" applyAlignment="1">
      <alignment horizontal="center"/>
    </xf>
    <xf numFmtId="0" fontId="142" fillId="61" borderId="0" xfId="0" applyFont="1" applyFill="1" applyAlignment="1">
      <alignment/>
    </xf>
    <xf numFmtId="0" fontId="142" fillId="61" borderId="0" xfId="0" applyFont="1" applyFill="1" applyAlignment="1">
      <alignment horizontal="center"/>
    </xf>
    <xf numFmtId="0" fontId="106" fillId="61" borderId="0" xfId="0" applyFont="1" applyFill="1" applyBorder="1" applyAlignment="1" applyProtection="1">
      <alignment horizontal="left" indent="1"/>
      <protection/>
    </xf>
    <xf numFmtId="0" fontId="143" fillId="61" borderId="0" xfId="0" applyFont="1" applyFill="1" applyAlignment="1">
      <alignment horizontal="left" indent="1"/>
    </xf>
    <xf numFmtId="0" fontId="144" fillId="61" borderId="0" xfId="0" applyFont="1" applyFill="1" applyAlignment="1">
      <alignment/>
    </xf>
    <xf numFmtId="0" fontId="144" fillId="61" borderId="0" xfId="0" applyFont="1" applyFill="1" applyAlignment="1">
      <alignment horizontal="left" indent="1"/>
    </xf>
    <xf numFmtId="0" fontId="145" fillId="61" borderId="0" xfId="0" applyFont="1" applyFill="1" applyAlignment="1">
      <alignment horizontal="right"/>
    </xf>
    <xf numFmtId="0" fontId="100" fillId="61" borderId="0" xfId="0" applyFont="1" applyFill="1" applyAlignment="1">
      <alignment horizontal="right"/>
    </xf>
    <xf numFmtId="0" fontId="0" fillId="41" borderId="9" xfId="0" applyNumberFormat="1" applyFont="1" applyFill="1" applyBorder="1" applyAlignment="1" applyProtection="1">
      <alignment horizontal="left" wrapText="1" indent="4"/>
      <protection hidden="1"/>
    </xf>
    <xf numFmtId="0" fontId="0" fillId="41" borderId="9" xfId="0" applyNumberFormat="1" applyFont="1" applyFill="1" applyBorder="1" applyAlignment="1" applyProtection="1">
      <alignment horizontal="left" wrapText="1" indent="5"/>
      <protection hidden="1"/>
    </xf>
    <xf numFmtId="0" fontId="0" fillId="41" borderId="9" xfId="0" applyNumberFormat="1" applyFont="1" applyFill="1" applyBorder="1" applyAlignment="1" applyProtection="1">
      <alignment horizontal="left" wrapText="1" indent="2"/>
      <protection hidden="1"/>
    </xf>
    <xf numFmtId="0" fontId="134" fillId="63" borderId="9" xfId="607" applyNumberFormat="1" applyFont="1" applyFill="1" applyBorder="1" applyAlignment="1" applyProtection="1">
      <alignment horizontal="center" vertical="center" wrapText="1"/>
      <protection hidden="1"/>
    </xf>
    <xf numFmtId="0" fontId="0" fillId="61" borderId="9" xfId="0" applyFont="1" applyFill="1" applyBorder="1" applyAlignment="1">
      <alignment/>
    </xf>
    <xf numFmtId="0" fontId="146" fillId="0" borderId="0" xfId="0" applyFont="1" applyAlignment="1">
      <alignment/>
    </xf>
    <xf numFmtId="0" fontId="134" fillId="61" borderId="0" xfId="0" applyFont="1" applyFill="1" applyAlignment="1">
      <alignment horizontal="center"/>
    </xf>
    <xf numFmtId="0" fontId="0" fillId="63" borderId="9" xfId="0" applyNumberFormat="1" applyFont="1" applyFill="1" applyBorder="1" applyAlignment="1">
      <alignment horizontal="center"/>
    </xf>
    <xf numFmtId="0" fontId="0" fillId="41" borderId="0" xfId="0" applyFill="1" applyAlignment="1">
      <alignment horizontal="right"/>
    </xf>
    <xf numFmtId="164" fontId="134" fillId="62" borderId="9" xfId="0" applyNumberFormat="1" applyFont="1" applyFill="1" applyBorder="1" applyAlignment="1" applyProtection="1">
      <alignment horizontal="right"/>
      <protection hidden="1"/>
    </xf>
    <xf numFmtId="38" fontId="0" fillId="41" borderId="0" xfId="0" applyNumberFormat="1" applyFill="1" applyAlignment="1">
      <alignment/>
    </xf>
    <xf numFmtId="0" fontId="134" fillId="61" borderId="42" xfId="0" applyFont="1" applyFill="1" applyBorder="1" applyAlignment="1" applyProtection="1">
      <alignment horizontal="left" wrapText="1" indent="1"/>
      <protection hidden="1"/>
    </xf>
    <xf numFmtId="0" fontId="0" fillId="41" borderId="42" xfId="0" applyNumberFormat="1" applyFont="1" applyFill="1" applyBorder="1" applyAlignment="1" applyProtection="1">
      <alignment horizontal="left" wrapText="1" indent="1"/>
      <protection hidden="1"/>
    </xf>
    <xf numFmtId="0" fontId="134" fillId="62" borderId="42" xfId="0" applyNumberFormat="1" applyFont="1" applyFill="1" applyBorder="1" applyAlignment="1" applyProtection="1">
      <alignment horizontal="left" wrapText="1" indent="1"/>
      <protection hidden="1"/>
    </xf>
    <xf numFmtId="0" fontId="134" fillId="62" borderId="42" xfId="0" applyFont="1" applyFill="1" applyBorder="1" applyAlignment="1" applyProtection="1">
      <alignment horizontal="left" wrapText="1" indent="1"/>
      <protection hidden="1"/>
    </xf>
    <xf numFmtId="0" fontId="134" fillId="62" borderId="42" xfId="0" applyNumberFormat="1" applyFont="1" applyFill="1" applyBorder="1" applyAlignment="1" applyProtection="1">
      <alignment horizontal="left" wrapText="1" indent="1"/>
      <protection/>
    </xf>
    <xf numFmtId="0" fontId="0" fillId="41" borderId="43" xfId="0" applyNumberFormat="1" applyFont="1" applyFill="1" applyBorder="1" applyAlignment="1" applyProtection="1">
      <alignment horizontal="left" wrapText="1" indent="1"/>
      <protection hidden="1"/>
    </xf>
    <xf numFmtId="0" fontId="0" fillId="41" borderId="44" xfId="0" applyNumberFormat="1" applyFont="1" applyFill="1" applyBorder="1" applyAlignment="1" applyProtection="1">
      <alignment horizontal="center" wrapText="1"/>
      <protection hidden="1"/>
    </xf>
    <xf numFmtId="0" fontId="147" fillId="61" borderId="0" xfId="0" applyFont="1" applyFill="1" applyAlignment="1">
      <alignment horizontal="center"/>
    </xf>
    <xf numFmtId="0" fontId="147" fillId="61" borderId="0" xfId="0" applyFont="1" applyFill="1" applyAlignment="1">
      <alignment/>
    </xf>
    <xf numFmtId="0" fontId="141" fillId="0" borderId="0" xfId="0" applyFont="1" applyFill="1" applyAlignment="1">
      <alignment/>
    </xf>
    <xf numFmtId="0" fontId="142" fillId="0" borderId="0" xfId="0" applyFont="1" applyFill="1" applyAlignment="1">
      <alignment/>
    </xf>
    <xf numFmtId="0" fontId="112" fillId="0" borderId="0" xfId="0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4" fontId="0" fillId="0" borderId="9" xfId="600" applyNumberFormat="1" applyFont="1" applyFill="1" applyBorder="1" applyAlignment="1">
      <alignment horizontal="right" wrapText="1"/>
      <protection/>
    </xf>
    <xf numFmtId="164" fontId="0" fillId="0" borderId="45" xfId="600" applyNumberFormat="1" applyFont="1" applyFill="1" applyBorder="1" applyAlignment="1">
      <alignment horizontal="right" wrapText="1"/>
      <protection/>
    </xf>
    <xf numFmtId="0" fontId="144" fillId="0" borderId="0" xfId="0" applyFont="1" applyFill="1" applyAlignment="1">
      <alignment/>
    </xf>
    <xf numFmtId="0" fontId="147" fillId="0" borderId="0" xfId="0" applyFont="1" applyFill="1" applyAlignment="1">
      <alignment/>
    </xf>
    <xf numFmtId="164" fontId="147" fillId="0" borderId="0" xfId="0" applyNumberFormat="1" applyFont="1" applyFill="1" applyAlignment="1">
      <alignment/>
    </xf>
    <xf numFmtId="41" fontId="134" fillId="62" borderId="9" xfId="0" applyNumberFormat="1" applyFont="1" applyFill="1" applyBorder="1" applyAlignment="1" applyProtection="1">
      <alignment horizontal="center" wrapText="1"/>
      <protection hidden="1"/>
    </xf>
    <xf numFmtId="0" fontId="134" fillId="61" borderId="46" xfId="0" applyFont="1" applyFill="1" applyBorder="1" applyAlignment="1" applyProtection="1">
      <alignment horizontal="left" wrapText="1" indent="1"/>
      <protection hidden="1"/>
    </xf>
    <xf numFmtId="0" fontId="0" fillId="41" borderId="40" xfId="0" applyNumberFormat="1" applyFont="1" applyFill="1" applyBorder="1" applyAlignment="1" applyProtection="1">
      <alignment horizontal="center" wrapText="1"/>
      <protection/>
    </xf>
    <xf numFmtId="0" fontId="0" fillId="0" borderId="4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63" borderId="48" xfId="0" applyNumberFormat="1" applyFont="1" applyFill="1" applyBorder="1" applyAlignment="1">
      <alignment horizontal="center"/>
    </xf>
    <xf numFmtId="0" fontId="134" fillId="63" borderId="49" xfId="0" applyNumberFormat="1" applyFont="1" applyFill="1" applyBorder="1" applyAlignment="1">
      <alignment horizontal="center" vertical="center" wrapText="1"/>
    </xf>
    <xf numFmtId="0" fontId="134" fillId="63" borderId="50" xfId="0" applyNumberFormat="1" applyFont="1" applyFill="1" applyBorder="1" applyAlignment="1">
      <alignment horizontal="center" vertical="center" wrapText="1"/>
    </xf>
    <xf numFmtId="41" fontId="134" fillId="62" borderId="45" xfId="0" applyNumberFormat="1" applyFont="1" applyFill="1" applyBorder="1" applyAlignment="1" applyProtection="1">
      <alignment horizontal="center" wrapText="1"/>
      <protection hidden="1"/>
    </xf>
    <xf numFmtId="225" fontId="142" fillId="0" borderId="0" xfId="0" applyNumberFormat="1" applyFont="1" applyFill="1" applyAlignment="1">
      <alignment/>
    </xf>
    <xf numFmtId="226" fontId="142" fillId="0" borderId="0" xfId="0" applyNumberFormat="1" applyFont="1" applyFill="1" applyAlignment="1">
      <alignment/>
    </xf>
    <xf numFmtId="224" fontId="100" fillId="0" borderId="44" xfId="600" applyNumberFormat="1" applyFont="1" applyFill="1" applyBorder="1" applyAlignment="1">
      <alignment horizontal="right"/>
      <protection/>
    </xf>
    <xf numFmtId="0" fontId="100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34" fillId="0" borderId="0" xfId="0" applyFont="1" applyFill="1" applyAlignment="1">
      <alignment/>
    </xf>
    <xf numFmtId="0" fontId="134" fillId="0" borderId="0" xfId="0" applyFont="1" applyFill="1" applyAlignment="1">
      <alignment horizontal="left" indent="1"/>
    </xf>
    <xf numFmtId="0" fontId="136" fillId="0" borderId="0" xfId="0" applyFont="1" applyFill="1" applyAlignment="1">
      <alignment horizontal="left" indent="1"/>
    </xf>
    <xf numFmtId="0" fontId="100" fillId="0" borderId="0" xfId="0" applyFont="1" applyFill="1" applyAlignment="1">
      <alignment horizontal="right"/>
    </xf>
    <xf numFmtId="0" fontId="135" fillId="0" borderId="0" xfId="0" applyFont="1" applyFill="1" applyAlignment="1">
      <alignment horizontal="right"/>
    </xf>
    <xf numFmtId="0" fontId="134" fillId="0" borderId="9" xfId="0" applyFont="1" applyFill="1" applyBorder="1" applyAlignment="1" applyProtection="1">
      <alignment horizontal="center" wrapText="1"/>
      <protection hidden="1"/>
    </xf>
    <xf numFmtId="0" fontId="0" fillId="0" borderId="9" xfId="0" applyNumberFormat="1" applyFill="1" applyBorder="1" applyAlignment="1" applyProtection="1">
      <alignment horizontal="center" wrapText="1"/>
      <protection/>
    </xf>
    <xf numFmtId="164" fontId="0" fillId="0" borderId="0" xfId="0" applyNumberFormat="1" applyFill="1" applyAlignment="1">
      <alignment/>
    </xf>
    <xf numFmtId="0" fontId="146" fillId="0" borderId="0" xfId="0" applyFont="1" applyFill="1" applyAlignment="1">
      <alignment/>
    </xf>
    <xf numFmtId="0" fontId="134" fillId="0" borderId="0" xfId="0" applyFont="1" applyFill="1" applyAlignment="1">
      <alignment horizontal="center"/>
    </xf>
    <xf numFmtId="164" fontId="100" fillId="0" borderId="9" xfId="0" applyNumberFormat="1" applyFont="1" applyFill="1" applyBorder="1" applyAlignment="1" applyProtection="1">
      <alignment horizontal="right"/>
      <protection hidden="1"/>
    </xf>
    <xf numFmtId="164" fontId="113" fillId="0" borderId="9" xfId="600" applyNumberFormat="1" applyFont="1" applyFill="1" applyBorder="1" applyAlignment="1">
      <alignment horizontal="right"/>
      <protection/>
    </xf>
    <xf numFmtId="164" fontId="113" fillId="0" borderId="33" xfId="600" applyNumberFormat="1" applyFont="1" applyFill="1" applyBorder="1" applyAlignment="1">
      <alignment horizontal="right"/>
      <protection/>
    </xf>
    <xf numFmtId="227" fontId="142" fillId="61" borderId="0" xfId="0" applyNumberFormat="1" applyFont="1" applyFill="1" applyAlignment="1">
      <alignment/>
    </xf>
    <xf numFmtId="0" fontId="0" fillId="0" borderId="9" xfId="0" applyFill="1" applyBorder="1" applyAlignment="1">
      <alignment horizontal="center"/>
    </xf>
    <xf numFmtId="217" fontId="0" fillId="0" borderId="9" xfId="0" applyNumberFormat="1" applyFill="1" applyBorder="1" applyAlignment="1">
      <alignment horizontal="center"/>
    </xf>
    <xf numFmtId="217" fontId="100" fillId="0" borderId="9" xfId="0" applyNumberFormat="1" applyFont="1" applyFill="1" applyBorder="1" applyAlignment="1" applyProtection="1">
      <alignment horizontal="center"/>
      <protection hidden="1"/>
    </xf>
    <xf numFmtId="0" fontId="113" fillId="61" borderId="0" xfId="0" applyFont="1" applyFill="1" applyAlignment="1">
      <alignment/>
    </xf>
    <xf numFmtId="164" fontId="113" fillId="61" borderId="0" xfId="0" applyNumberFormat="1" applyFont="1" applyFill="1" applyAlignment="1">
      <alignment/>
    </xf>
    <xf numFmtId="164" fontId="113" fillId="61" borderId="0" xfId="600" applyNumberFormat="1" applyFont="1" applyFill="1" applyBorder="1" applyAlignment="1">
      <alignment horizontal="right"/>
      <protection/>
    </xf>
    <xf numFmtId="0" fontId="0" fillId="0" borderId="42" xfId="0" applyNumberFormat="1" applyFont="1" applyFill="1" applyBorder="1" applyAlignment="1" applyProtection="1">
      <alignment horizontal="left" wrapText="1" indent="1"/>
      <protection/>
    </xf>
    <xf numFmtId="0" fontId="0" fillId="0" borderId="51" xfId="0" applyFont="1" applyFill="1" applyBorder="1" applyAlignment="1">
      <alignment/>
    </xf>
    <xf numFmtId="0" fontId="134" fillId="0" borderId="42" xfId="0" applyFont="1" applyFill="1" applyBorder="1" applyAlignment="1" applyProtection="1">
      <alignment horizontal="left" wrapText="1" indent="1"/>
      <protection hidden="1"/>
    </xf>
    <xf numFmtId="0" fontId="0" fillId="0" borderId="42" xfId="0" applyNumberFormat="1" applyFont="1" applyFill="1" applyBorder="1" applyAlignment="1" applyProtection="1">
      <alignment horizontal="left" wrapText="1" indent="2"/>
      <protection/>
    </xf>
    <xf numFmtId="0" fontId="134" fillId="0" borderId="42" xfId="0" applyFont="1" applyFill="1" applyBorder="1" applyAlignment="1" applyProtection="1">
      <alignment horizontal="left" wrapText="1" indent="2"/>
      <protection hidden="1"/>
    </xf>
    <xf numFmtId="0" fontId="134" fillId="0" borderId="42" xfId="0" applyFont="1" applyFill="1" applyBorder="1" applyAlignment="1" applyProtection="1">
      <alignment horizontal="left" wrapText="1"/>
      <protection hidden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4" xfId="0" applyFill="1" applyBorder="1" applyAlignment="1">
      <alignment/>
    </xf>
    <xf numFmtId="41" fontId="142" fillId="0" borderId="0" xfId="0" applyNumberFormat="1" applyFont="1" applyFill="1" applyAlignment="1">
      <alignment/>
    </xf>
    <xf numFmtId="41" fontId="0" fillId="0" borderId="9" xfId="600" applyNumberFormat="1" applyFont="1" applyFill="1" applyBorder="1" applyAlignment="1">
      <alignment horizontal="right" wrapText="1"/>
      <protection/>
    </xf>
    <xf numFmtId="228" fontId="76" fillId="0" borderId="9" xfId="0" applyNumberFormat="1" applyFont="1" applyFill="1" applyBorder="1" applyAlignment="1" applyProtection="1">
      <alignment horizontal="left" wrapText="1"/>
      <protection/>
    </xf>
    <xf numFmtId="228" fontId="77" fillId="69" borderId="9" xfId="0" applyNumberFormat="1" applyFont="1" applyFill="1" applyBorder="1" applyAlignment="1" applyProtection="1">
      <alignment/>
      <protection/>
    </xf>
    <xf numFmtId="228" fontId="23" fillId="0" borderId="9" xfId="0" applyNumberFormat="1" applyFont="1" applyFill="1" applyBorder="1" applyAlignment="1" applyProtection="1">
      <alignment horizontal="left" wrapText="1"/>
      <protection/>
    </xf>
    <xf numFmtId="228" fontId="76" fillId="0" borderId="9" xfId="0" applyNumberFormat="1" applyFont="1" applyFill="1" applyBorder="1" applyAlignment="1" applyProtection="1">
      <alignment wrapText="1"/>
      <protection/>
    </xf>
    <xf numFmtId="228" fontId="76" fillId="0" borderId="9" xfId="0" applyNumberFormat="1" applyFont="1" applyFill="1" applyBorder="1" applyAlignment="1" applyProtection="1">
      <alignment horizontal="left" wrapText="1"/>
      <protection locked="0"/>
    </xf>
    <xf numFmtId="228" fontId="66" fillId="0" borderId="9" xfId="0" applyNumberFormat="1" applyFont="1" applyFill="1" applyBorder="1" applyAlignment="1" applyProtection="1">
      <alignment/>
      <protection/>
    </xf>
    <xf numFmtId="228" fontId="142" fillId="61" borderId="0" xfId="0" applyNumberFormat="1" applyFont="1" applyFill="1" applyAlignment="1">
      <alignment/>
    </xf>
    <xf numFmtId="216" fontId="78" fillId="0" borderId="9" xfId="0" applyNumberFormat="1" applyFont="1" applyFill="1" applyBorder="1" applyAlignment="1" applyProtection="1">
      <alignment horizontal="center"/>
      <protection/>
    </xf>
    <xf numFmtId="216" fontId="79" fillId="0" borderId="9" xfId="0" applyNumberFormat="1" applyFont="1" applyFill="1" applyBorder="1" applyAlignment="1" applyProtection="1">
      <alignment horizontal="center"/>
      <protection/>
    </xf>
    <xf numFmtId="216" fontId="148" fillId="0" borderId="9" xfId="0" applyNumberFormat="1" applyFont="1" applyFill="1" applyBorder="1" applyAlignment="1" applyProtection="1">
      <alignment horizontal="center"/>
      <protection/>
    </xf>
    <xf numFmtId="216" fontId="24" fillId="0" borderId="9" xfId="0" applyNumberFormat="1" applyFont="1" applyFill="1" applyBorder="1" applyAlignment="1" applyProtection="1">
      <alignment horizontal="left" vertical="top" wrapText="1" indent="1"/>
      <protection locked="0"/>
    </xf>
    <xf numFmtId="216" fontId="14" fillId="0" borderId="9" xfId="0" applyNumberFormat="1" applyFont="1" applyFill="1" applyBorder="1" applyAlignment="1" applyProtection="1">
      <alignment horizontal="left" vertical="top" wrapText="1" indent="2"/>
      <protection locked="0"/>
    </xf>
    <xf numFmtId="216" fontId="80" fillId="0" borderId="9" xfId="0" applyNumberFormat="1" applyFont="1" applyFill="1" applyBorder="1" applyAlignment="1" applyProtection="1">
      <alignment horizontal="left" vertical="center" wrapText="1" indent="4"/>
      <protection locked="0"/>
    </xf>
    <xf numFmtId="216" fontId="24" fillId="0" borderId="9" xfId="0" applyNumberFormat="1" applyFont="1" applyFill="1" applyBorder="1" applyAlignment="1" applyProtection="1">
      <alignment horizontal="left" vertical="top" wrapText="1" indent="2"/>
      <protection locked="0"/>
    </xf>
    <xf numFmtId="216" fontId="14" fillId="0" borderId="9" xfId="0" applyNumberFormat="1" applyFont="1" applyFill="1" applyBorder="1" applyAlignment="1" applyProtection="1">
      <alignment horizontal="left" vertical="top" wrapText="1" indent="1"/>
      <protection locked="0"/>
    </xf>
    <xf numFmtId="0" fontId="78" fillId="0" borderId="9" xfId="0" applyFont="1" applyFill="1" applyBorder="1" applyAlignment="1">
      <alignment horizontal="left" vertical="top" wrapText="1" indent="2"/>
    </xf>
    <xf numFmtId="216" fontId="24" fillId="0" borderId="9" xfId="0" applyNumberFormat="1" applyFont="1" applyFill="1" applyBorder="1" applyAlignment="1" applyProtection="1">
      <alignment horizontal="left" wrapText="1" indent="1"/>
      <protection locked="0"/>
    </xf>
    <xf numFmtId="216" fontId="14" fillId="0" borderId="9" xfId="0" applyNumberFormat="1" applyFont="1" applyFill="1" applyBorder="1" applyAlignment="1" applyProtection="1">
      <alignment wrapText="1"/>
      <protection locked="0"/>
    </xf>
    <xf numFmtId="216" fontId="14" fillId="0" borderId="9" xfId="0" applyNumberFormat="1" applyFont="1" applyFill="1" applyBorder="1" applyAlignment="1" applyProtection="1">
      <alignment horizontal="left" vertical="top" wrapText="1" indent="3"/>
      <protection locked="0"/>
    </xf>
    <xf numFmtId="216" fontId="14" fillId="0" borderId="9" xfId="0" applyNumberFormat="1" applyFont="1" applyFill="1" applyBorder="1" applyAlignment="1" applyProtection="1">
      <alignment horizontal="left" wrapText="1" indent="1"/>
      <protection locked="0"/>
    </xf>
    <xf numFmtId="216" fontId="23" fillId="0" borderId="9" xfId="0" applyNumberFormat="1" applyFont="1" applyFill="1" applyBorder="1" applyAlignment="1" applyProtection="1">
      <alignment horizontal="center" wrapText="1"/>
      <protection/>
    </xf>
    <xf numFmtId="216" fontId="23" fillId="0" borderId="9" xfId="0" applyNumberFormat="1" applyFont="1" applyFill="1" applyBorder="1" applyAlignment="1" applyProtection="1">
      <alignment horizontal="center" wrapText="1"/>
      <protection locked="0"/>
    </xf>
    <xf numFmtId="164" fontId="0" fillId="0" borderId="9" xfId="600" applyNumberFormat="1" applyFill="1" applyBorder="1" applyAlignment="1">
      <alignment horizontal="right"/>
      <protection/>
    </xf>
    <xf numFmtId="0" fontId="0" fillId="0" borderId="9" xfId="0" applyFill="1" applyBorder="1" applyAlignment="1">
      <alignment/>
    </xf>
    <xf numFmtId="164" fontId="134" fillId="0" borderId="9" xfId="600" applyNumberFormat="1" applyFont="1" applyFill="1" applyBorder="1" applyAlignment="1">
      <alignment horizontal="right"/>
      <protection/>
    </xf>
    <xf numFmtId="38" fontId="0" fillId="0" borderId="33" xfId="0" applyNumberFormat="1" applyFill="1" applyBorder="1" applyAlignment="1" applyProtection="1">
      <alignment horizontal="right"/>
      <protection/>
    </xf>
    <xf numFmtId="38" fontId="0" fillId="0" borderId="33" xfId="0" applyNumberFormat="1" applyFill="1" applyBorder="1" applyAlignment="1">
      <alignment horizontal="right"/>
    </xf>
    <xf numFmtId="38" fontId="0" fillId="0" borderId="33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38" fontId="0" fillId="67" borderId="52" xfId="0" applyNumberFormat="1" applyFill="1" applyBorder="1" applyAlignment="1">
      <alignment horizontal="right"/>
    </xf>
    <xf numFmtId="38" fontId="0" fillId="67" borderId="53" xfId="0" applyNumberFormat="1" applyFill="1" applyBorder="1" applyAlignment="1">
      <alignment horizontal="right"/>
    </xf>
    <xf numFmtId="38" fontId="0" fillId="70" borderId="9" xfId="0" applyNumberFormat="1" applyFill="1" applyBorder="1" applyAlignment="1">
      <alignment horizontal="right"/>
    </xf>
    <xf numFmtId="0" fontId="0" fillId="41" borderId="37" xfId="0" applyNumberFormat="1" applyFill="1" applyBorder="1" applyAlignment="1" applyProtection="1">
      <alignment horizontal="left" wrapText="1" indent="1"/>
      <protection hidden="1"/>
    </xf>
    <xf numFmtId="38" fontId="0" fillId="0" borderId="52" xfId="0" applyNumberFormat="1" applyFill="1" applyBorder="1" applyAlignment="1" applyProtection="1">
      <alignment horizontal="right"/>
      <protection/>
    </xf>
    <xf numFmtId="38" fontId="0" fillId="0" borderId="52" xfId="0" applyNumberFormat="1" applyFill="1" applyBorder="1" applyAlignment="1">
      <alignment horizontal="right"/>
    </xf>
    <xf numFmtId="0" fontId="0" fillId="41" borderId="40" xfId="0" applyNumberFormat="1" applyFill="1" applyBorder="1" applyAlignment="1" applyProtection="1">
      <alignment horizontal="left" wrapText="1" indent="1"/>
      <protection hidden="1"/>
    </xf>
    <xf numFmtId="38" fontId="0" fillId="67" borderId="53" xfId="0" applyNumberFormat="1" applyFill="1" applyBorder="1" applyAlignment="1" applyProtection="1">
      <alignment horizontal="right"/>
      <protection/>
    </xf>
    <xf numFmtId="0" fontId="149" fillId="70" borderId="9" xfId="0" applyNumberFormat="1" applyFont="1" applyFill="1" applyBorder="1" applyAlignment="1" applyProtection="1">
      <alignment horizontal="left" wrapText="1" indent="1"/>
      <protection hidden="1"/>
    </xf>
    <xf numFmtId="38" fontId="0" fillId="70" borderId="9" xfId="0" applyNumberFormat="1" applyFill="1" applyBorder="1" applyAlignment="1" applyProtection="1">
      <alignment horizontal="right"/>
      <protection/>
    </xf>
    <xf numFmtId="49" fontId="134" fillId="41" borderId="0" xfId="0" applyNumberFormat="1" applyFont="1" applyFill="1" applyBorder="1" applyAlignment="1">
      <alignment horizontal="center" vertical="top"/>
    </xf>
    <xf numFmtId="0" fontId="134" fillId="64" borderId="0" xfId="0" applyFont="1" applyFill="1" applyAlignment="1">
      <alignment/>
    </xf>
    <xf numFmtId="0" fontId="137" fillId="41" borderId="0" xfId="0" applyFont="1" applyFill="1" applyAlignment="1">
      <alignment/>
    </xf>
    <xf numFmtId="0" fontId="0" fillId="41" borderId="38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39" xfId="0" applyFill="1" applyBorder="1" applyAlignment="1">
      <alignment/>
    </xf>
    <xf numFmtId="0" fontId="0" fillId="63" borderId="11" xfId="0" applyNumberFormat="1" applyFill="1" applyBorder="1" applyAlignment="1">
      <alignment horizontal="center" vertical="center" wrapText="1"/>
    </xf>
    <xf numFmtId="0" fontId="0" fillId="63" borderId="39" xfId="0" applyNumberFormat="1" applyFill="1" applyBorder="1" applyAlignment="1">
      <alignment horizontal="center" vertical="center" wrapText="1"/>
    </xf>
  </cellXfs>
  <cellStyles count="705">
    <cellStyle name="Normal" xfId="0"/>
    <cellStyle name="_x0013_" xfId="15"/>
    <cellStyle name=" 1" xfId="16"/>
    <cellStyle name="&#10;bidires=100&#13;" xfId="17"/>
    <cellStyle name="&#13;&#10;JournalTemplate=C:\COMFO\CTALK\JOURSTD.TPL&#13;&#10;LbStateAddress=3 3 0 251 1 89 2 311&#13;&#10;LbStateJou" xfId="18"/>
    <cellStyle name="&#13;&#10;JournalTemplate=C:\COMFO\CTALK\JOURSTD.TPL&#13;&#10;LbStateAddress=3 3 0 251 1 89 2 311&#13;&#10;LbStateJou 2" xfId="19"/>
    <cellStyle name="$ тыс" xfId="20"/>
    <cellStyle name="$ тыс. (0)" xfId="21"/>
    <cellStyle name="???????" xfId="22"/>
    <cellStyle name="????????" xfId="23"/>
    <cellStyle name="???????? [0]" xfId="24"/>
    <cellStyle name="??????????" xfId="25"/>
    <cellStyle name="?????????? [0]" xfId="26"/>
    <cellStyle name="_13 СлавСПбНП Платежный бюджет_06" xfId="27"/>
    <cellStyle name="_1A15C5E" xfId="28"/>
    <cellStyle name="_FA" xfId="29"/>
    <cellStyle name="_Forms RAS_v3_29122008_PV" xfId="30"/>
    <cellStyle name="_Forms RAS_v4_16.01.2009" xfId="31"/>
    <cellStyle name="_Forms RAS_v7_17.02.2009" xfId="32"/>
    <cellStyle name="_FS forms_RAS_GPN" xfId="33"/>
    <cellStyle name="_FS_FS&amp;Notes RAS_GPN_08.12.08._AE_v2" xfId="34"/>
    <cellStyle name="_Plug" xfId="35"/>
    <cellStyle name="_Plug_ARO_figures_2004" xfId="36"/>
    <cellStyle name="_Plug_Depletion calc 6m 2004" xfId="37"/>
    <cellStyle name="_Plug_PBC 6m 2004 Lenina mine all" xfId="38"/>
    <cellStyle name="_Plug_PBC Lenina mine support for adjs  6m 2004" xfId="39"/>
    <cellStyle name="_Plug_Transformation_Lenina mine_12m2003_NGW adj" xfId="40"/>
    <cellStyle name="_Plug_Transformation_Sibirginskiy mine_6m2004 NGW" xfId="41"/>
    <cellStyle name="_Plug_ГААП 1 полугодие от Том.раз." xfId="42"/>
    <cellStyle name="_Plug_ГААП 6 месяцев 2004г Ленина испр" xfId="43"/>
    <cellStyle name="_Plug_Дополнение к  GAAP 1 полуг 2004 г" xfId="44"/>
    <cellStyle name="_Plug_РВС ГААП 6 мес 03 Ленина" xfId="45"/>
    <cellStyle name="_Plug_РВС_ ш. Ленина_01.03.04 adj" xfId="46"/>
    <cellStyle name="_Plug_Р-з Сибиргинский 6 мес 2004 GAAP" xfId="47"/>
    <cellStyle name="_Plug_Ф3" xfId="48"/>
    <cellStyle name="_Plug_Шахта_Сибиргинская" xfId="49"/>
    <cellStyle name="_PRICE_1C" xfId="50"/>
    <cellStyle name="_PRICE_1C 2" xfId="51"/>
    <cellStyle name="_Registers_for taxes" xfId="52"/>
    <cellStyle name="_БИЗНЕС-ПЛАН 2004 ГОД 2 вариант" xfId="53"/>
    <cellStyle name="_БИЗНЕС-ПЛАН 2004 год 3 вар" xfId="54"/>
    <cellStyle name="_БП_КНП- 2004 по формам Сибнефти от 18.09.2003" xfId="55"/>
    <cellStyle name="_Бюджет 2,3,4,5,7,8,9, налоги, акцизы на 01_2004 от 17-25_12_03 " xfId="56"/>
    <cellStyle name="_ДИТАТ ОС АРЕНДА СВОД 2005 пром  16 06 05 для ННГ" xfId="57"/>
    <cellStyle name="_ДИТАТ ОС АРЕНДА СВОД 2005 пром. 14.06.05 для ННГ" xfId="58"/>
    <cellStyle name="_ИТАТ-2003-10 (вар.2)" xfId="59"/>
    <cellStyle name="_лимит по рабочим" xfId="60"/>
    <cellStyle name="_мебель, оборудование инвентарь1207" xfId="61"/>
    <cellStyle name="_мебель, оборудование инвентарь1207 2" xfId="62"/>
    <cellStyle name="_ОТЧЕТ для ДКФ    06 04 05  (6)" xfId="63"/>
    <cellStyle name="_ОТЧЕТ для ДКФ    06 04 05  (6) 2" xfId="64"/>
    <cellStyle name="_ОТЭ" xfId="65"/>
    <cellStyle name="_План развития ПТС на 2005-2010 (связи станционной части)" xfId="66"/>
    <cellStyle name="_План развития ПТС на 2005-2010 (связи станционной части) 2" xfId="67"/>
    <cellStyle name="_Платежный бюджет БП_2006." xfId="68"/>
    <cellStyle name="_Прилож - ООО  ЗН" xfId="69"/>
    <cellStyle name="_Прилож 1 ОАО Сибнефть - Ноябрьскнефтегаз от 14.06" xfId="70"/>
    <cellStyle name="_Программа на 2005г по направлениям -  от 10 06 05" xfId="71"/>
    <cellStyle name="_произв.цели - приложение к СНР_айгерим_09.11" xfId="72"/>
    <cellStyle name="_произв.цели - приложение к СНР_айгерим_09.11 2" xfId="73"/>
    <cellStyle name="_САС-БП 2004 г (2вариант)" xfId="74"/>
    <cellStyle name="_САС-БП 2004 г (2вариант) ЮКОС" xfId="75"/>
    <cellStyle name="_Утв СД Бюджет расшиф 29 12 05" xfId="76"/>
    <cellStyle name="_Утв СД Бюджет расшиф 29 12 05 2" xfId="77"/>
    <cellStyle name="_Формы БП_ Юкос (послед)" xfId="78"/>
    <cellStyle name="_шаблон к письму нк 03-8777" xfId="79"/>
    <cellStyle name="”ќђќ‘ћ‚›‰" xfId="80"/>
    <cellStyle name="”ќђќ‘ћ‚›‰ 2" xfId="81"/>
    <cellStyle name="”ќђќ‘ћ‚›‰ 3" xfId="82"/>
    <cellStyle name="”љ‘ђћ‚ђќќ›‰" xfId="83"/>
    <cellStyle name="”љ‘ђћ‚ђќќ›‰ 2" xfId="84"/>
    <cellStyle name="”љ‘ђћ‚ђќќ›‰ 3" xfId="85"/>
    <cellStyle name="„…ќ…†ќ›‰" xfId="86"/>
    <cellStyle name="„…ќ…†ќ›‰ 2" xfId="87"/>
    <cellStyle name="„…ќ…†ќ›‰ 3" xfId="88"/>
    <cellStyle name="‡ђѓћ‹ћ‚ћљ1" xfId="89"/>
    <cellStyle name="‡ђѓћ‹ћ‚ћљ1 2" xfId="90"/>
    <cellStyle name="‡ђѓћ‹ћ‚ћљ2" xfId="91"/>
    <cellStyle name="‡ђѓћ‹ћ‚ћљ2 2" xfId="92"/>
    <cellStyle name="’ћѓћ‚›‰" xfId="93"/>
    <cellStyle name="’ћѓћ‚›‰ 2" xfId="94"/>
    <cellStyle name="0,00;0;" xfId="95"/>
    <cellStyle name="0.0" xfId="96"/>
    <cellStyle name="20% - Accent1" xfId="97"/>
    <cellStyle name="20% - Accent1 2" xfId="98"/>
    <cellStyle name="20% - Accent2" xfId="99"/>
    <cellStyle name="20% - Accent2 2" xfId="100"/>
    <cellStyle name="20% - Accent3" xfId="101"/>
    <cellStyle name="20% - Accent3 2" xfId="102"/>
    <cellStyle name="20% - Accent4" xfId="103"/>
    <cellStyle name="20% - Accent4 2" xfId="104"/>
    <cellStyle name="20% - Accent5" xfId="105"/>
    <cellStyle name="20% - Accent5 2" xfId="106"/>
    <cellStyle name="20% - Accent6" xfId="107"/>
    <cellStyle name="20% - Accent6 2" xfId="108"/>
    <cellStyle name="20% - Акцент1" xfId="109"/>
    <cellStyle name="20% - Акцент1 2" xfId="110"/>
    <cellStyle name="20% - Акцент1 2 2" xfId="111"/>
    <cellStyle name="20% - Акцент2" xfId="112"/>
    <cellStyle name="20% - Акцент2 2" xfId="113"/>
    <cellStyle name="20% - Акцент2 2 2" xfId="114"/>
    <cellStyle name="20% - Акцент3" xfId="115"/>
    <cellStyle name="20% - Акцент3 2" xfId="116"/>
    <cellStyle name="20% - Акцент3 2 2" xfId="117"/>
    <cellStyle name="20% - Акцент4" xfId="118"/>
    <cellStyle name="20% - Акцент4 2" xfId="119"/>
    <cellStyle name="20% - Акцент4 2 2" xfId="120"/>
    <cellStyle name="20% - Акцент5" xfId="121"/>
    <cellStyle name="20% - Акцент5 2" xfId="122"/>
    <cellStyle name="20% - Акцент5 2 2" xfId="123"/>
    <cellStyle name="20% - Акцент6" xfId="124"/>
    <cellStyle name="20% - Акцент6 2" xfId="125"/>
    <cellStyle name="20% - Акцент6 2 2" xfId="126"/>
    <cellStyle name="40% - Accent1" xfId="127"/>
    <cellStyle name="40% - Accent1 2" xfId="128"/>
    <cellStyle name="40% - Accent2" xfId="129"/>
    <cellStyle name="40% - Accent2 2" xfId="130"/>
    <cellStyle name="40% - Accent3" xfId="131"/>
    <cellStyle name="40% - Accent3 2" xfId="132"/>
    <cellStyle name="40% - Accent4" xfId="133"/>
    <cellStyle name="40% - Accent4 2" xfId="134"/>
    <cellStyle name="40% - Accent5" xfId="135"/>
    <cellStyle name="40% - Accent5 2" xfId="136"/>
    <cellStyle name="40% - Accent6" xfId="137"/>
    <cellStyle name="40% - Accent6 2" xfId="138"/>
    <cellStyle name="40% - Акцент1" xfId="139"/>
    <cellStyle name="40% - Акцент1 2" xfId="140"/>
    <cellStyle name="40% - Акцент1 2 2" xfId="141"/>
    <cellStyle name="40% - Акцент2" xfId="142"/>
    <cellStyle name="40% - Акцент2 2" xfId="143"/>
    <cellStyle name="40% - Акцент2 2 2" xfId="144"/>
    <cellStyle name="40% - Акцент3" xfId="145"/>
    <cellStyle name="40% - Акцент3 2" xfId="146"/>
    <cellStyle name="40% - Акцент3 2 2" xfId="147"/>
    <cellStyle name="40% - Акцент4" xfId="148"/>
    <cellStyle name="40% - Акцент4 2" xfId="149"/>
    <cellStyle name="40% - Акцент4 2 2" xfId="150"/>
    <cellStyle name="40% - Акцент5" xfId="151"/>
    <cellStyle name="40% - Акцент5 2" xfId="152"/>
    <cellStyle name="40% - Акцент5 2 2" xfId="153"/>
    <cellStyle name="40% - Акцент6" xfId="154"/>
    <cellStyle name="40% - Акцент6 2" xfId="155"/>
    <cellStyle name="40% - Акцент6 2 2" xfId="156"/>
    <cellStyle name="60% - Accent1" xfId="157"/>
    <cellStyle name="60% - Accent1 2" xfId="158"/>
    <cellStyle name="60% - Accent2" xfId="159"/>
    <cellStyle name="60% - Accent2 2" xfId="160"/>
    <cellStyle name="60% - Accent3" xfId="161"/>
    <cellStyle name="60% - Accent3 2" xfId="162"/>
    <cellStyle name="60% - Accent4" xfId="163"/>
    <cellStyle name="60% - Accent4 2" xfId="164"/>
    <cellStyle name="60% - Accent5" xfId="165"/>
    <cellStyle name="60% - Accent5 2" xfId="166"/>
    <cellStyle name="60% - Accent6" xfId="167"/>
    <cellStyle name="60% - Accent6 2" xfId="168"/>
    <cellStyle name="60% - Акцент1" xfId="169"/>
    <cellStyle name="60% - Акцент1 2" xfId="170"/>
    <cellStyle name="60% - Акцент1 2 2" xfId="171"/>
    <cellStyle name="60% - Акцент2" xfId="172"/>
    <cellStyle name="60% - Акцент2 2" xfId="173"/>
    <cellStyle name="60% - Акцент2 2 2" xfId="174"/>
    <cellStyle name="60% - Акцент3" xfId="175"/>
    <cellStyle name="60% - Акцент3 2" xfId="176"/>
    <cellStyle name="60% - Акцент3 2 2" xfId="177"/>
    <cellStyle name="60% - Акцент4" xfId="178"/>
    <cellStyle name="60% - Акцент4 2" xfId="179"/>
    <cellStyle name="60% - Акцент4 2 2" xfId="180"/>
    <cellStyle name="60% - Акцент5" xfId="181"/>
    <cellStyle name="60% - Акцент5 2" xfId="182"/>
    <cellStyle name="60% - Акцент5 2 2" xfId="183"/>
    <cellStyle name="60% - Акцент6" xfId="184"/>
    <cellStyle name="60% - Акцент6 2" xfId="185"/>
    <cellStyle name="60% - Акцент6 2 2" xfId="186"/>
    <cellStyle name="8pt" xfId="187"/>
    <cellStyle name="Äåíåæíûé" xfId="188"/>
    <cellStyle name="Äåíåæíûé [0]" xfId="189"/>
    <cellStyle name="Accent1" xfId="190"/>
    <cellStyle name="Accent1 2" xfId="191"/>
    <cellStyle name="Accent2" xfId="192"/>
    <cellStyle name="Accent2 2" xfId="193"/>
    <cellStyle name="Accent3" xfId="194"/>
    <cellStyle name="Accent3 2" xfId="195"/>
    <cellStyle name="Accent4" xfId="196"/>
    <cellStyle name="Accent4 2" xfId="197"/>
    <cellStyle name="Accent5" xfId="198"/>
    <cellStyle name="Accent5 2" xfId="199"/>
    <cellStyle name="Accent6" xfId="200"/>
    <cellStyle name="Accent6 2" xfId="201"/>
    <cellStyle name="Bad" xfId="202"/>
    <cellStyle name="Bad 2" xfId="203"/>
    <cellStyle name="C01_Page_head" xfId="204"/>
    <cellStyle name="C03_Col head general" xfId="205"/>
    <cellStyle name="C04_Note col head" xfId="206"/>
    <cellStyle name="C06_Previous yr col head" xfId="207"/>
    <cellStyle name="C08_Table text" xfId="208"/>
    <cellStyle name="C11_Note head" xfId="209"/>
    <cellStyle name="C14_Current year figs" xfId="210"/>
    <cellStyle name="C14b_Current Year Figs 3 dec" xfId="211"/>
    <cellStyle name="C15_Previous year figs" xfId="212"/>
    <cellStyle name="Calc Currency (0)" xfId="213"/>
    <cellStyle name="Calc Currency (0) 2" xfId="214"/>
    <cellStyle name="Calc Currency (2)" xfId="215"/>
    <cellStyle name="Calc Percent (0)" xfId="216"/>
    <cellStyle name="Calc Percent (0) 2" xfId="217"/>
    <cellStyle name="Calc Percent (0)_Пакет отчетности_09-02-2012" xfId="218"/>
    <cellStyle name="Calc Percent (1)" xfId="219"/>
    <cellStyle name="Calc Percent (2)" xfId="220"/>
    <cellStyle name="Calc Units (0)" xfId="221"/>
    <cellStyle name="Calc Units (1)" xfId="222"/>
    <cellStyle name="Calc Units (2)" xfId="223"/>
    <cellStyle name="Calculation" xfId="224"/>
    <cellStyle name="Calculation 2" xfId="225"/>
    <cellStyle name="Calculation 2 2" xfId="226"/>
    <cellStyle name="Calculation 2 2 2" xfId="227"/>
    <cellStyle name="Calculation 2 3" xfId="228"/>
    <cellStyle name="Calculation 2 3 2" xfId="229"/>
    <cellStyle name="Calculation 3" xfId="230"/>
    <cellStyle name="Calculation 3 2" xfId="231"/>
    <cellStyle name="Calculation 4" xfId="232"/>
    <cellStyle name="Calculation 4 2" xfId="233"/>
    <cellStyle name="Check" xfId="234"/>
    <cellStyle name="Check 10" xfId="235"/>
    <cellStyle name="Check 2" xfId="236"/>
    <cellStyle name="Check 2 2" xfId="237"/>
    <cellStyle name="Check 2 3" xfId="238"/>
    <cellStyle name="Check 2 4" xfId="239"/>
    <cellStyle name="Check 2 5" xfId="240"/>
    <cellStyle name="Check 3" xfId="241"/>
    <cellStyle name="Check 4" xfId="242"/>
    <cellStyle name="Check 5" xfId="243"/>
    <cellStyle name="Check 6" xfId="244"/>
    <cellStyle name="Check 7" xfId="245"/>
    <cellStyle name="Check 8" xfId="246"/>
    <cellStyle name="Check 9" xfId="247"/>
    <cellStyle name="Check Cell" xfId="248"/>
    <cellStyle name="Check Cell 2" xfId="249"/>
    <cellStyle name="Comma [0]_#6 Temps &amp; Contractors" xfId="250"/>
    <cellStyle name="Comma [00]" xfId="251"/>
    <cellStyle name="Comma [00] 2" xfId="252"/>
    <cellStyle name="Comma [00] 3" xfId="253"/>
    <cellStyle name="Comma [000]" xfId="254"/>
    <cellStyle name="Comma 2" xfId="255"/>
    <cellStyle name="Comma 2 2" xfId="256"/>
    <cellStyle name="Comma 2 3" xfId="257"/>
    <cellStyle name="Comma 3" xfId="258"/>
    <cellStyle name="Comma 3 2" xfId="259"/>
    <cellStyle name="Comma 3 3" xfId="260"/>
    <cellStyle name="Comma 4" xfId="261"/>
    <cellStyle name="Comma 4 2" xfId="262"/>
    <cellStyle name="Comma 4 3" xfId="263"/>
    <cellStyle name="Comma 5" xfId="264"/>
    <cellStyle name="Comma 5 2" xfId="265"/>
    <cellStyle name="Comma 5 3" xfId="266"/>
    <cellStyle name="Comma_#6 Temps &amp; Contractors" xfId="267"/>
    <cellStyle name="Comma0" xfId="268"/>
    <cellStyle name="Currency [0]" xfId="269"/>
    <cellStyle name="Currency [00]" xfId="270"/>
    <cellStyle name="Currency [00] 2" xfId="271"/>
    <cellStyle name="Currency [00] 3" xfId="272"/>
    <cellStyle name="Currency RU" xfId="273"/>
    <cellStyle name="Currency_#6 Temps &amp; Contractors" xfId="274"/>
    <cellStyle name="Currency0" xfId="275"/>
    <cellStyle name="Date" xfId="276"/>
    <cellStyle name="Date 2" xfId="277"/>
    <cellStyle name="Date 3" xfId="278"/>
    <cellStyle name="Date Short" xfId="279"/>
    <cellStyle name="Date without year" xfId="280"/>
    <cellStyle name="Date without year 2" xfId="281"/>
    <cellStyle name="DELTA" xfId="282"/>
    <cellStyle name="Dezimal [0]_Closing FX Kurse" xfId="283"/>
    <cellStyle name="Dezimal_Closing FX Kurse" xfId="284"/>
    <cellStyle name="E&amp;Y House" xfId="285"/>
    <cellStyle name="E&amp;Y House 2" xfId="286"/>
    <cellStyle name="Enter Currency (0)" xfId="287"/>
    <cellStyle name="Enter Currency (2)" xfId="288"/>
    <cellStyle name="Enter Units (0)" xfId="289"/>
    <cellStyle name="Enter Units (1)" xfId="290"/>
    <cellStyle name="Enter Units (2)" xfId="291"/>
    <cellStyle name="Euro" xfId="292"/>
    <cellStyle name="Explanatory Text" xfId="293"/>
    <cellStyle name="Explanatory Text 2" xfId="294"/>
    <cellStyle name="Fixed" xfId="295"/>
    <cellStyle name="From" xfId="296"/>
    <cellStyle name="From 2" xfId="297"/>
    <cellStyle name="From 3" xfId="298"/>
    <cellStyle name="G03_Text" xfId="299"/>
    <cellStyle name="Good" xfId="300"/>
    <cellStyle name="Good 2" xfId="301"/>
    <cellStyle name="Grey" xfId="302"/>
    <cellStyle name="Header1" xfId="303"/>
    <cellStyle name="Header1 2" xfId="304"/>
    <cellStyle name="Header2" xfId="305"/>
    <cellStyle name="Header2 2" xfId="306"/>
    <cellStyle name="Header2 2 2" xfId="307"/>
    <cellStyle name="Header2 2 2 2" xfId="308"/>
    <cellStyle name="Header2 2 3" xfId="309"/>
    <cellStyle name="Header2 3" xfId="310"/>
    <cellStyle name="Header2 3 2" xfId="311"/>
    <cellStyle name="Header2 4" xfId="312"/>
    <cellStyle name="Header2 4 2" xfId="313"/>
    <cellStyle name="Heading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Hyperlink_RESULTS" xfId="323"/>
    <cellStyle name="Iau?iue_NotesFA" xfId="324"/>
    <cellStyle name="Îáû÷íûé" xfId="325"/>
    <cellStyle name="Ïðîöåíòíûé" xfId="326"/>
    <cellStyle name="Input" xfId="327"/>
    <cellStyle name="Input [yellow]" xfId="328"/>
    <cellStyle name="Input [yellow] 2" xfId="329"/>
    <cellStyle name="Input [yellow] 3" xfId="330"/>
    <cellStyle name="Input 2" xfId="331"/>
    <cellStyle name="Input 3" xfId="332"/>
    <cellStyle name="Input_Cell" xfId="333"/>
    <cellStyle name="Link Currency (0)" xfId="334"/>
    <cellStyle name="Link Currency (2)" xfId="335"/>
    <cellStyle name="Link Units (0)" xfId="336"/>
    <cellStyle name="Link Units (1)" xfId="337"/>
    <cellStyle name="Link Units (2)" xfId="338"/>
    <cellStyle name="Linked Cell" xfId="339"/>
    <cellStyle name="Linked Cell 2" xfId="340"/>
    <cellStyle name="Millares [0]_FINAL-10" xfId="341"/>
    <cellStyle name="Millares_FINAL-10" xfId="342"/>
    <cellStyle name="Milliers [0]_B.S.96" xfId="343"/>
    <cellStyle name="Milliers_B.S.96" xfId="344"/>
    <cellStyle name="Moneda [0]_FINAL-10" xfId="345"/>
    <cellStyle name="Moneda_FINAL-10" xfId="346"/>
    <cellStyle name="Monйtaire [0]_B.S.96" xfId="347"/>
    <cellStyle name="Monйtaire_B.S.96" xfId="348"/>
    <cellStyle name="Neutral" xfId="349"/>
    <cellStyle name="Neutral 2" xfId="350"/>
    <cellStyle name="Normal - Style1" xfId="351"/>
    <cellStyle name="Normal - Style1 2" xfId="352"/>
    <cellStyle name="Normal - Style1 2 2" xfId="353"/>
    <cellStyle name="Normal - Style1 2_Пакет отчетности_09-02-2012" xfId="354"/>
    <cellStyle name="Normal - Style1 3" xfId="355"/>
    <cellStyle name="Normal 10" xfId="356"/>
    <cellStyle name="Normal 11" xfId="357"/>
    <cellStyle name="Normal 2" xfId="358"/>
    <cellStyle name="Normal 2 2" xfId="359"/>
    <cellStyle name="Normal 3" xfId="360"/>
    <cellStyle name="Normal 3 2" xfId="361"/>
    <cellStyle name="Normal 3 3" xfId="362"/>
    <cellStyle name="Normal 4" xfId="363"/>
    <cellStyle name="Normal 4 2" xfId="364"/>
    <cellStyle name="Normal 4 3" xfId="365"/>
    <cellStyle name="Normal 5" xfId="366"/>
    <cellStyle name="Normal 6" xfId="367"/>
    <cellStyle name="Normal 7" xfId="368"/>
    <cellStyle name="Normal 8" xfId="369"/>
    <cellStyle name="Normal 9" xfId="370"/>
    <cellStyle name="Normal_# 41-Market &amp;Trends" xfId="371"/>
    <cellStyle name="Normal1" xfId="372"/>
    <cellStyle name="Normal1 2" xfId="373"/>
    <cellStyle name="normбlnм_laroux" xfId="374"/>
    <cellStyle name="Note" xfId="375"/>
    <cellStyle name="Note 2" xfId="376"/>
    <cellStyle name="Note 2 2" xfId="377"/>
    <cellStyle name="Note 2 2 2" xfId="378"/>
    <cellStyle name="Note 2 3" xfId="379"/>
    <cellStyle name="Note 3" xfId="380"/>
    <cellStyle name="Note 3 2" xfId="381"/>
    <cellStyle name="Note 4" xfId="382"/>
    <cellStyle name="numbers" xfId="383"/>
    <cellStyle name="numbers 2" xfId="384"/>
    <cellStyle name="numbers_Пакет отчетности_09-02-2012" xfId="385"/>
    <cellStyle name="Ôèíàíñîâûé" xfId="386"/>
    <cellStyle name="Ôèíàíñîâûé [0]" xfId="387"/>
    <cellStyle name="Oeiainiaue [0]_NotesFA" xfId="388"/>
    <cellStyle name="Oeiainiaue_NotesFA" xfId="389"/>
    <cellStyle name="Ouny?e [0]_Oi?a IAIE" xfId="390"/>
    <cellStyle name="Ouny?e_Oi?a IAIE" xfId="391"/>
    <cellStyle name="Output" xfId="392"/>
    <cellStyle name="Output 2" xfId="393"/>
    <cellStyle name="Output 2 2" xfId="394"/>
    <cellStyle name="Output 2 2 2" xfId="395"/>
    <cellStyle name="Output 2 3" xfId="396"/>
    <cellStyle name="Output 3" xfId="397"/>
    <cellStyle name="Output 3 2" xfId="398"/>
    <cellStyle name="Output 4" xfId="399"/>
    <cellStyle name="paint" xfId="400"/>
    <cellStyle name="paint 2" xfId="401"/>
    <cellStyle name="Percent (0)" xfId="402"/>
    <cellStyle name="Percent (0) 2" xfId="403"/>
    <cellStyle name="Percent [0]" xfId="404"/>
    <cellStyle name="Percent [00]" xfId="405"/>
    <cellStyle name="Percent [2]" xfId="406"/>
    <cellStyle name="Percent [2] 2" xfId="407"/>
    <cellStyle name="Percent 0%" xfId="408"/>
    <cellStyle name="Percent 0.00%" xfId="409"/>
    <cellStyle name="Percent 2" xfId="410"/>
    <cellStyle name="Percent 3" xfId="411"/>
    <cellStyle name="Percent_#6 Temps &amp; Contractors" xfId="412"/>
    <cellStyle name="Piug" xfId="413"/>
    <cellStyle name="piw#" xfId="414"/>
    <cellStyle name="piw%" xfId="415"/>
    <cellStyle name="Plug" xfId="416"/>
    <cellStyle name="Pourcentage_Profit &amp; Loss" xfId="417"/>
    <cellStyle name="PrePop Currency (0)" xfId="418"/>
    <cellStyle name="PrePop Currency (2)" xfId="419"/>
    <cellStyle name="PrePop Units (0)" xfId="420"/>
    <cellStyle name="PrePop Units (1)" xfId="421"/>
    <cellStyle name="PrePop Units (2)" xfId="422"/>
    <cellStyle name="Price_Body" xfId="423"/>
    <cellStyle name="prochrek" xfId="424"/>
    <cellStyle name="Rubles" xfId="425"/>
    <cellStyle name="SAPLocked" xfId="426"/>
    <cellStyle name="SAPUnLocked" xfId="427"/>
    <cellStyle name="small" xfId="428"/>
    <cellStyle name="stand_bord" xfId="429"/>
    <cellStyle name="Standard_20020617_Modell_PUFA_neu_v9" xfId="430"/>
    <cellStyle name="Style 1" xfId="431"/>
    <cellStyle name="Style 1 2" xfId="432"/>
    <cellStyle name="Style 1 3" xfId="433"/>
    <cellStyle name="Style 2" xfId="434"/>
    <cellStyle name="Style 2 2" xfId="435"/>
    <cellStyle name="Style 2 3" xfId="436"/>
    <cellStyle name="Style 2 4" xfId="437"/>
    <cellStyle name="Style 3" xfId="438"/>
    <cellStyle name="Text Indent A" xfId="439"/>
    <cellStyle name="Text Indent B" xfId="440"/>
    <cellStyle name="Text Indent C" xfId="441"/>
    <cellStyle name="Tickmark" xfId="442"/>
    <cellStyle name="Tickmark 2" xfId="443"/>
    <cellStyle name="Title" xfId="444"/>
    <cellStyle name="Title 2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3 2" xfId="452"/>
    <cellStyle name="Total 4" xfId="453"/>
    <cellStyle name="Virgulă_30-06-2003 lei-USDru" xfId="454"/>
    <cellStyle name="Währung [0]_Closing FX Kurse" xfId="455"/>
    <cellStyle name="Währung_Closing FX Kurse" xfId="456"/>
    <cellStyle name="Warning Text" xfId="457"/>
    <cellStyle name="Warning Text 2" xfId="458"/>
    <cellStyle name="Акцент1" xfId="459"/>
    <cellStyle name="Акцент1 2" xfId="460"/>
    <cellStyle name="Акцент1 2 2" xfId="461"/>
    <cellStyle name="Акцент2" xfId="462"/>
    <cellStyle name="Акцент2 2" xfId="463"/>
    <cellStyle name="Акцент2 2 2" xfId="464"/>
    <cellStyle name="Акцент3" xfId="465"/>
    <cellStyle name="Акцент3 2" xfId="466"/>
    <cellStyle name="Акцент3 2 2" xfId="467"/>
    <cellStyle name="Акцент4" xfId="468"/>
    <cellStyle name="Акцент4 2" xfId="469"/>
    <cellStyle name="Акцент4 2 2" xfId="470"/>
    <cellStyle name="Акцент5" xfId="471"/>
    <cellStyle name="Акцент5 2" xfId="472"/>
    <cellStyle name="Акцент5 2 2" xfId="473"/>
    <cellStyle name="Акцент6" xfId="474"/>
    <cellStyle name="Акцент6 2" xfId="475"/>
    <cellStyle name="Акцент6 2 2" xfId="476"/>
    <cellStyle name="Беззащитный" xfId="477"/>
    <cellStyle name="Ввод " xfId="478"/>
    <cellStyle name="Ввод  2" xfId="479"/>
    <cellStyle name="Ввод  2 2" xfId="480"/>
    <cellStyle name="Ввод  3" xfId="481"/>
    <cellStyle name="Верт. заголовок" xfId="482"/>
    <cellStyle name="Вес_продукта" xfId="483"/>
    <cellStyle name="Вывод" xfId="484"/>
    <cellStyle name="Вывод 2" xfId="485"/>
    <cellStyle name="Вывод 2 2" xfId="486"/>
    <cellStyle name="Вывод 3" xfId="487"/>
    <cellStyle name="Вычисление" xfId="488"/>
    <cellStyle name="Вычисление 2" xfId="489"/>
    <cellStyle name="Вычисление 2 2" xfId="490"/>
    <cellStyle name="Вычисление 3" xfId="491"/>
    <cellStyle name="Hyperlink" xfId="492"/>
    <cellStyle name="Гиперссылка 2" xfId="493"/>
    <cellStyle name="Гиперссылка 2 2" xfId="494"/>
    <cellStyle name="Гиперссылка 3" xfId="495"/>
    <cellStyle name="Гиперссылка 3 2" xfId="496"/>
    <cellStyle name="Гиперссылка 4" xfId="497"/>
    <cellStyle name="Группа" xfId="498"/>
    <cellStyle name="Группа 0" xfId="499"/>
    <cellStyle name="Группа 1" xfId="500"/>
    <cellStyle name="Группа 2" xfId="501"/>
    <cellStyle name="Группа 2 2" xfId="502"/>
    <cellStyle name="Группа 3" xfId="503"/>
    <cellStyle name="Группа 4" xfId="504"/>
    <cellStyle name="Группа 5" xfId="505"/>
    <cellStyle name="Группа 6" xfId="506"/>
    <cellStyle name="Группа_Бюллетень декабрь 2003 2" xfId="507"/>
    <cellStyle name="Дата" xfId="508"/>
    <cellStyle name="Дата 2" xfId="509"/>
    <cellStyle name="Дата 3" xfId="510"/>
    <cellStyle name="Currency" xfId="511"/>
    <cellStyle name="Currency [0]" xfId="512"/>
    <cellStyle name="Заголовок" xfId="513"/>
    <cellStyle name="Заголовок 1" xfId="514"/>
    <cellStyle name="Заголовок 1 2" xfId="515"/>
    <cellStyle name="Заголовок 1 2 2" xfId="516"/>
    <cellStyle name="Заголовок 2" xfId="517"/>
    <cellStyle name="Заголовок 2 2" xfId="518"/>
    <cellStyle name="Заголовок 2 2 2" xfId="519"/>
    <cellStyle name="Заголовок 3" xfId="520"/>
    <cellStyle name="Заголовок 3 2" xfId="521"/>
    <cellStyle name="Заголовок 3 2 2" xfId="522"/>
    <cellStyle name="Заголовок 4" xfId="523"/>
    <cellStyle name="Заголовок 4 2" xfId="524"/>
    <cellStyle name="Заголовок 4 2 2" xfId="525"/>
    <cellStyle name="Защитный" xfId="526"/>
    <cellStyle name="Звезды" xfId="527"/>
    <cellStyle name="Звезды 2" xfId="528"/>
    <cellStyle name="Звезды 3" xfId="529"/>
    <cellStyle name="Итог" xfId="530"/>
    <cellStyle name="Итог 2" xfId="531"/>
    <cellStyle name="Итог 2 2" xfId="532"/>
    <cellStyle name="Итог 3" xfId="533"/>
    <cellStyle name="Итого" xfId="534"/>
    <cellStyle name="КАНДАГАЧ тел3-33-96" xfId="535"/>
    <cellStyle name="КАНДАГАЧ тел3-33-96 2" xfId="536"/>
    <cellStyle name="КАНДАГАЧ тел3-33-96_Пакет отчетности_09-02-2012" xfId="537"/>
    <cellStyle name="Контрольная ячейка" xfId="538"/>
    <cellStyle name="Контрольная ячейка 2" xfId="539"/>
    <cellStyle name="Контрольная ячейка 2 2" xfId="540"/>
    <cellStyle name="Название" xfId="541"/>
    <cellStyle name="Название 2" xfId="542"/>
    <cellStyle name="Название 2 2" xfId="543"/>
    <cellStyle name="Название 3" xfId="544"/>
    <cellStyle name="Невидимый" xfId="545"/>
    <cellStyle name="Невидимый 2" xfId="546"/>
    <cellStyle name="Невидимый 3" xfId="547"/>
    <cellStyle name="Нейтральный" xfId="548"/>
    <cellStyle name="Нейтральный 2" xfId="549"/>
    <cellStyle name="Нейтральный 2 2" xfId="550"/>
    <cellStyle name="Низ1" xfId="551"/>
    <cellStyle name="Низ2" xfId="552"/>
    <cellStyle name="Обычный 10" xfId="553"/>
    <cellStyle name="Обычный 10 2" xfId="554"/>
    <cellStyle name="Обычный 11" xfId="555"/>
    <cellStyle name="Обычный 11 2" xfId="556"/>
    <cellStyle name="Обычный 12" xfId="557"/>
    <cellStyle name="Обычный 12 2" xfId="558"/>
    <cellStyle name="Обычный 13" xfId="559"/>
    <cellStyle name="Обычный 13 2" xfId="560"/>
    <cellStyle name="Обычный 14" xfId="561"/>
    <cellStyle name="Обычный 15" xfId="562"/>
    <cellStyle name="Обычный 15 2" xfId="563"/>
    <cellStyle name="Обычный 16" xfId="564"/>
    <cellStyle name="Обычный 16 2" xfId="565"/>
    <cellStyle name="Обычный 17" xfId="566"/>
    <cellStyle name="Обычный 18" xfId="567"/>
    <cellStyle name="Обычный 19" xfId="568"/>
    <cellStyle name="Обычный 2" xfId="569"/>
    <cellStyle name="Обычный 2 10" xfId="570"/>
    <cellStyle name="Обычный 2 10 2" xfId="571"/>
    <cellStyle name="Обычный 2 11" xfId="572"/>
    <cellStyle name="Обычный 2 11 2" xfId="573"/>
    <cellStyle name="Обычный 2 12" xfId="574"/>
    <cellStyle name="Обычный 2 12 2" xfId="575"/>
    <cellStyle name="Обычный 2 13" xfId="576"/>
    <cellStyle name="Обычный 2 13 2" xfId="577"/>
    <cellStyle name="Обычный 2 14" xfId="578"/>
    <cellStyle name="Обычный 2 15" xfId="579"/>
    <cellStyle name="Обычный 2 2" xfId="580"/>
    <cellStyle name="Обычный 2 2 2" xfId="581"/>
    <cellStyle name="Обычный 2 3" xfId="582"/>
    <cellStyle name="Обычный 2 3 2" xfId="583"/>
    <cellStyle name="Обычный 2 4" xfId="584"/>
    <cellStyle name="Обычный 2 4 2" xfId="585"/>
    <cellStyle name="Обычный 2 5" xfId="586"/>
    <cellStyle name="Обычный 2 5 2" xfId="587"/>
    <cellStyle name="Обычный 2 6" xfId="588"/>
    <cellStyle name="Обычный 2 6 2" xfId="589"/>
    <cellStyle name="Обычный 2 7" xfId="590"/>
    <cellStyle name="Обычный 2 7 2" xfId="591"/>
    <cellStyle name="Обычный 2 8" xfId="592"/>
    <cellStyle name="Обычный 2 8 2" xfId="593"/>
    <cellStyle name="Обычный 2 9" xfId="594"/>
    <cellStyle name="Обычный 2 9 2" xfId="595"/>
    <cellStyle name="Обычный 20" xfId="596"/>
    <cellStyle name="Обычный 21" xfId="597"/>
    <cellStyle name="Обычный 22" xfId="598"/>
    <cellStyle name="Обычный 23" xfId="599"/>
    <cellStyle name="Обычный 3" xfId="600"/>
    <cellStyle name="Обычный 3 2" xfId="601"/>
    <cellStyle name="Обычный 3 3" xfId="602"/>
    <cellStyle name="Обычный 4" xfId="603"/>
    <cellStyle name="Обычный 4 2" xfId="604"/>
    <cellStyle name="Обычный 4 2 2" xfId="605"/>
    <cellStyle name="Обычный 4 3" xfId="606"/>
    <cellStyle name="Обычный 5" xfId="607"/>
    <cellStyle name="Обычный 5 2" xfId="608"/>
    <cellStyle name="Обычный 5 2 2" xfId="609"/>
    <cellStyle name="Обычный 5 3" xfId="610"/>
    <cellStyle name="Обычный 6" xfId="611"/>
    <cellStyle name="Обычный 6 2" xfId="612"/>
    <cellStyle name="Обычный 7" xfId="613"/>
    <cellStyle name="Обычный 7 2" xfId="614"/>
    <cellStyle name="Обычный 7 3" xfId="615"/>
    <cellStyle name="Обычный 8" xfId="616"/>
    <cellStyle name="Обычный 8 2" xfId="617"/>
    <cellStyle name="Обычный 9" xfId="618"/>
    <cellStyle name="Обычный 9 2" xfId="619"/>
    <cellStyle name="Плохой" xfId="620"/>
    <cellStyle name="Плохой 2" xfId="621"/>
    <cellStyle name="Плохой 2 2" xfId="622"/>
    <cellStyle name="Подгруппа" xfId="623"/>
    <cellStyle name="Пояснение" xfId="624"/>
    <cellStyle name="Пояснение 2" xfId="625"/>
    <cellStyle name="Пояснение 2 2" xfId="626"/>
    <cellStyle name="Примечание" xfId="627"/>
    <cellStyle name="Примечание 2" xfId="628"/>
    <cellStyle name="Примечание 2 2" xfId="629"/>
    <cellStyle name="Примечание 3" xfId="630"/>
    <cellStyle name="Продукт" xfId="631"/>
    <cellStyle name="Percent" xfId="632"/>
    <cellStyle name="Процентный 2" xfId="633"/>
    <cellStyle name="Процентный 2 10" xfId="634"/>
    <cellStyle name="Процентный 2 11" xfId="635"/>
    <cellStyle name="Процентный 2 12" xfId="636"/>
    <cellStyle name="Процентный 2 13" xfId="637"/>
    <cellStyle name="Процентный 2 2" xfId="638"/>
    <cellStyle name="Процентный 2 2 2" xfId="639"/>
    <cellStyle name="Процентный 2 3" xfId="640"/>
    <cellStyle name="Процентный 2 4" xfId="641"/>
    <cellStyle name="Процентный 2 5" xfId="642"/>
    <cellStyle name="Процентный 2 6" xfId="643"/>
    <cellStyle name="Процентный 2 7" xfId="644"/>
    <cellStyle name="Процентный 2 8" xfId="645"/>
    <cellStyle name="Процентный 2 9" xfId="646"/>
    <cellStyle name="Процентный 3" xfId="647"/>
    <cellStyle name="Процентный 3 2" xfId="648"/>
    <cellStyle name="Процентный 4" xfId="649"/>
    <cellStyle name="Процентный 5" xfId="650"/>
    <cellStyle name="Процентный 6" xfId="651"/>
    <cellStyle name="Разница" xfId="652"/>
    <cellStyle name="руб. (0)" xfId="653"/>
    <cellStyle name="руб. (0) 2" xfId="654"/>
    <cellStyle name="руб. (0) 3" xfId="655"/>
    <cellStyle name="Связанная ячейка" xfId="656"/>
    <cellStyle name="Связанная ячейка 2" xfId="657"/>
    <cellStyle name="Связанная ячейка 2 2" xfId="658"/>
    <cellStyle name="Стиль 1" xfId="659"/>
    <cellStyle name="Стиль 1 2" xfId="660"/>
    <cellStyle name="Стиль 1 3" xfId="661"/>
    <cellStyle name="Стиль 2" xfId="662"/>
    <cellStyle name="Стиль 2 2" xfId="663"/>
    <cellStyle name="Стиль 3" xfId="664"/>
    <cellStyle name="Стиль 3 2" xfId="665"/>
    <cellStyle name="Стиль_названий" xfId="666"/>
    <cellStyle name="Субсчет" xfId="667"/>
    <cellStyle name="Счет" xfId="668"/>
    <cellStyle name="Текст предупреждения" xfId="669"/>
    <cellStyle name="Текст предупреждения 2" xfId="670"/>
    <cellStyle name="Текст предупреждения 2 2" xfId="671"/>
    <cellStyle name="тонн (0)" xfId="672"/>
    <cellStyle name="Тыс $ (0)" xfId="673"/>
    <cellStyle name="Тыс (0)" xfId="674"/>
    <cellStyle name="тыс. тонн (0)" xfId="675"/>
    <cellStyle name="Тысячи [0]" xfId="676"/>
    <cellStyle name="Тысячи [0] 2" xfId="677"/>
    <cellStyle name="Тысячи_010SN05" xfId="678"/>
    <cellStyle name="Comma" xfId="679"/>
    <cellStyle name="Comma [0]" xfId="680"/>
    <cellStyle name="Финансовый 2" xfId="681"/>
    <cellStyle name="Финансовый 2 10" xfId="682"/>
    <cellStyle name="Финансовый 2 11" xfId="683"/>
    <cellStyle name="Финансовый 2 12" xfId="684"/>
    <cellStyle name="Финансовый 2 13" xfId="685"/>
    <cellStyle name="Финансовый 2 14" xfId="686"/>
    <cellStyle name="Финансовый 2 2" xfId="687"/>
    <cellStyle name="Финансовый 2 2 2" xfId="688"/>
    <cellStyle name="Финансовый 2 3" xfId="689"/>
    <cellStyle name="Финансовый 2 4" xfId="690"/>
    <cellStyle name="Финансовый 2 5" xfId="691"/>
    <cellStyle name="Финансовый 2 6" xfId="692"/>
    <cellStyle name="Финансовый 2 7" xfId="693"/>
    <cellStyle name="Финансовый 2 8" xfId="694"/>
    <cellStyle name="Финансовый 2 9" xfId="695"/>
    <cellStyle name="Финансовый 3" xfId="696"/>
    <cellStyle name="Финансовый 3 2" xfId="697"/>
    <cellStyle name="Финансовый 3 3" xfId="698"/>
    <cellStyle name="Финансовый 37" xfId="699"/>
    <cellStyle name="Финансовый 37 2" xfId="700"/>
    <cellStyle name="Финансовый 4" xfId="701"/>
    <cellStyle name="Финансовый 4 2" xfId="702"/>
    <cellStyle name="Финансовый 4 3" xfId="703"/>
    <cellStyle name="Финансовый 5" xfId="704"/>
    <cellStyle name="Финансовый 5 2" xfId="705"/>
    <cellStyle name="Финансовый 6" xfId="706"/>
    <cellStyle name="Финансовый 6 2" xfId="707"/>
    <cellStyle name="Хороший" xfId="708"/>
    <cellStyle name="Хороший 2" xfId="709"/>
    <cellStyle name="Хороший 2 2" xfId="710"/>
    <cellStyle name="Цена" xfId="711"/>
    <cellStyle name="Цена 2" xfId="712"/>
    <cellStyle name="Цена 3" xfId="713"/>
    <cellStyle name="Џђћ–…ќ’ќ›‰" xfId="714"/>
    <cellStyle name="Џђћ–…ќ’ќ›‰ 2" xfId="715"/>
    <cellStyle name="Џђћ–…ќ’ќ›‰ 3" xfId="716"/>
    <cellStyle name="Шапка" xfId="717"/>
    <cellStyle name="ШАУ" xfId="718"/>
  </cellStyles>
  <dxfs count="141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1" ht="409.5">
      <c r="A1" s="25" t="s">
        <v>401</v>
      </c>
      <c r="B1" s="24" t="s">
        <v>402</v>
      </c>
      <c r="C1" s="25" t="s">
        <v>403</v>
      </c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4"/>
      <c r="Q1" s="25"/>
      <c r="R1" s="25"/>
      <c r="S1" s="24"/>
      <c r="T1" s="24"/>
      <c r="U1" s="25"/>
    </row>
  </sheetData>
  <sheetProtection password="82F3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CD104"/>
  <sheetViews>
    <sheetView view="pageBreakPreview" zoomScaleSheetLayoutView="100" workbookViewId="0" topLeftCell="A67">
      <selection activeCell="D87" sqref="D87"/>
    </sheetView>
  </sheetViews>
  <sheetFormatPr defaultColWidth="9.140625" defaultRowHeight="15"/>
  <cols>
    <col min="1" max="1" width="0.85546875" style="89" customWidth="1"/>
    <col min="2" max="2" width="57.57421875" style="89" customWidth="1"/>
    <col min="3" max="3" width="7.8515625" style="90" customWidth="1"/>
    <col min="4" max="5" width="21.7109375" style="118" customWidth="1"/>
    <col min="6" max="88" width="21.7109375" style="89" customWidth="1"/>
    <col min="89" max="16384" width="9.140625" style="89" customWidth="1"/>
  </cols>
  <sheetData>
    <row r="2" spans="2:4" ht="15.75">
      <c r="B2" s="91" t="s">
        <v>395</v>
      </c>
      <c r="C2" s="84"/>
      <c r="D2" s="117"/>
    </row>
    <row r="3" spans="2:4" ht="15.75">
      <c r="B3" s="92" t="s">
        <v>427</v>
      </c>
      <c r="C3" s="84"/>
      <c r="D3" s="117"/>
    </row>
    <row r="4" spans="2:3" ht="15">
      <c r="B4" s="34"/>
      <c r="C4" s="88"/>
    </row>
    <row r="5" spans="2:82" ht="15.75" customHeight="1" thickBot="1">
      <c r="B5" s="94"/>
      <c r="E5" s="119" t="s">
        <v>396</v>
      </c>
      <c r="G5" s="95"/>
      <c r="I5" s="95"/>
      <c r="K5" s="95"/>
      <c r="L5" s="95"/>
      <c r="M5" s="95"/>
      <c r="N5" s="95"/>
      <c r="P5" s="95"/>
      <c r="CD5" s="95"/>
    </row>
    <row r="6" spans="2:6" ht="35.25" customHeight="1" thickBot="1">
      <c r="B6" s="132"/>
      <c r="C6" s="133" t="s">
        <v>397</v>
      </c>
      <c r="D6" s="133" t="s">
        <v>27</v>
      </c>
      <c r="E6" s="134" t="s">
        <v>28</v>
      </c>
      <c r="F6" s="89" t="s">
        <v>428</v>
      </c>
    </row>
    <row r="7" spans="2:5" ht="16.5" customHeight="1">
      <c r="B7" s="128" t="s">
        <v>36</v>
      </c>
      <c r="C7" s="129"/>
      <c r="D7" s="130"/>
      <c r="E7" s="131"/>
    </row>
    <row r="8" spans="2:5" ht="16.5" customHeight="1">
      <c r="B8" s="108" t="s">
        <v>40</v>
      </c>
      <c r="C8" s="85"/>
      <c r="D8" s="120"/>
      <c r="E8" s="121"/>
    </row>
    <row r="9" spans="2:7" ht="16.5" customHeight="1">
      <c r="B9" s="109" t="s">
        <v>350</v>
      </c>
      <c r="C9" s="87">
        <v>2</v>
      </c>
      <c r="D9" s="122">
        <v>21634964</v>
      </c>
      <c r="E9" s="123">
        <v>19756556</v>
      </c>
      <c r="F9" s="174">
        <v>21634964</v>
      </c>
      <c r="G9" s="180">
        <f>D9-F9</f>
        <v>0</v>
      </c>
    </row>
    <row r="10" spans="2:7" ht="16.5" customHeight="1">
      <c r="B10" s="109" t="s">
        <v>351</v>
      </c>
      <c r="C10" s="87">
        <v>3</v>
      </c>
      <c r="D10" s="122">
        <v>424034</v>
      </c>
      <c r="E10" s="123">
        <v>448042</v>
      </c>
      <c r="F10" s="174">
        <v>424034</v>
      </c>
      <c r="G10" s="180">
        <f aca="true" t="shared" si="0" ref="G10:G73">D10-F10</f>
        <v>0</v>
      </c>
    </row>
    <row r="11" spans="2:7" ht="16.5" customHeight="1">
      <c r="B11" s="109" t="s">
        <v>352</v>
      </c>
      <c r="C11" s="87"/>
      <c r="D11" s="122"/>
      <c r="E11" s="123"/>
      <c r="F11" s="174">
        <v>0</v>
      </c>
      <c r="G11" s="180">
        <f t="shared" si="0"/>
        <v>0</v>
      </c>
    </row>
    <row r="12" spans="2:7" ht="16.5" customHeight="1">
      <c r="B12" s="109" t="s">
        <v>353</v>
      </c>
      <c r="C12" s="87"/>
      <c r="D12" s="122"/>
      <c r="E12" s="123"/>
      <c r="F12" s="174">
        <v>0</v>
      </c>
      <c r="G12" s="180">
        <f t="shared" si="0"/>
        <v>0</v>
      </c>
    </row>
    <row r="13" spans="2:7" ht="16.5" customHeight="1">
      <c r="B13" s="109" t="s">
        <v>354</v>
      </c>
      <c r="C13" s="87"/>
      <c r="D13" s="122"/>
      <c r="E13" s="123"/>
      <c r="F13" s="175"/>
      <c r="G13" s="180">
        <f t="shared" si="0"/>
        <v>0</v>
      </c>
    </row>
    <row r="14" spans="2:7" ht="16.5" customHeight="1">
      <c r="B14" s="109" t="s">
        <v>355</v>
      </c>
      <c r="C14" s="87">
        <v>4</v>
      </c>
      <c r="D14" s="122">
        <v>4866678</v>
      </c>
      <c r="E14" s="123">
        <v>5721871</v>
      </c>
      <c r="F14" s="174">
        <v>4866678</v>
      </c>
      <c r="G14" s="180">
        <f t="shared" si="0"/>
        <v>0</v>
      </c>
    </row>
    <row r="15" spans="2:7" ht="16.5" customHeight="1">
      <c r="B15" s="109" t="s">
        <v>356</v>
      </c>
      <c r="C15" s="87">
        <v>4</v>
      </c>
      <c r="D15" s="122">
        <v>697025</v>
      </c>
      <c r="E15" s="123">
        <v>641838</v>
      </c>
      <c r="F15" s="174">
        <v>697025</v>
      </c>
      <c r="G15" s="180">
        <f t="shared" si="0"/>
        <v>0</v>
      </c>
    </row>
    <row r="16" spans="2:7" ht="16.5" customHeight="1">
      <c r="B16" s="109" t="s">
        <v>357</v>
      </c>
      <c r="C16" s="87"/>
      <c r="D16" s="122"/>
      <c r="E16" s="123"/>
      <c r="F16" s="174">
        <v>0</v>
      </c>
      <c r="G16" s="180">
        <f t="shared" si="0"/>
        <v>0</v>
      </c>
    </row>
    <row r="17" spans="2:7" ht="16.5" customHeight="1">
      <c r="B17" s="109" t="s">
        <v>358</v>
      </c>
      <c r="C17" s="87"/>
      <c r="D17" s="122"/>
      <c r="E17" s="123"/>
      <c r="F17" s="174">
        <v>85810</v>
      </c>
      <c r="G17" s="180">
        <f t="shared" si="0"/>
        <v>-85810</v>
      </c>
    </row>
    <row r="18" spans="2:7" ht="30.75" customHeight="1">
      <c r="B18" s="109" t="s">
        <v>359</v>
      </c>
      <c r="C18" s="87"/>
      <c r="D18" s="122"/>
      <c r="E18" s="123"/>
      <c r="F18" s="174">
        <v>0</v>
      </c>
      <c r="G18" s="180">
        <f t="shared" si="0"/>
        <v>0</v>
      </c>
    </row>
    <row r="19" spans="2:7" ht="16.5" customHeight="1">
      <c r="B19" s="109" t="s">
        <v>360</v>
      </c>
      <c r="C19" s="87"/>
      <c r="D19" s="122">
        <v>2843710</v>
      </c>
      <c r="E19" s="123">
        <v>2880589</v>
      </c>
      <c r="F19" s="174">
        <v>2843710</v>
      </c>
      <c r="G19" s="180">
        <f t="shared" si="0"/>
        <v>0</v>
      </c>
    </row>
    <row r="20" spans="2:7" ht="16.5" customHeight="1">
      <c r="B20" s="109" t="s">
        <v>361</v>
      </c>
      <c r="C20" s="87"/>
      <c r="D20" s="173">
        <v>2418</v>
      </c>
      <c r="E20" s="173">
        <f>2322-2322</f>
        <v>0</v>
      </c>
      <c r="F20" s="174">
        <v>2418</v>
      </c>
      <c r="G20" s="180">
        <f t="shared" si="0"/>
        <v>0</v>
      </c>
    </row>
    <row r="21" spans="2:7" ht="16.5" customHeight="1">
      <c r="B21" s="109" t="s">
        <v>362</v>
      </c>
      <c r="C21" s="87">
        <v>5</v>
      </c>
      <c r="D21" s="122">
        <f>2734679+85810</f>
        <v>2820489</v>
      </c>
      <c r="E21" s="123">
        <f>2103474+4479+2322</f>
        <v>2110275</v>
      </c>
      <c r="F21" s="174">
        <v>2734679</v>
      </c>
      <c r="G21" s="180">
        <f t="shared" si="0"/>
        <v>85810</v>
      </c>
    </row>
    <row r="22" spans="2:7" ht="16.5" customHeight="1">
      <c r="B22" s="110" t="s">
        <v>363</v>
      </c>
      <c r="C22" s="31" t="s">
        <v>107</v>
      </c>
      <c r="D22" s="127">
        <f>SUM(D9:D21)</f>
        <v>33289318</v>
      </c>
      <c r="E22" s="135">
        <f>SUM(E9:E21)</f>
        <v>31559171</v>
      </c>
      <c r="F22" s="176">
        <v>33289318</v>
      </c>
      <c r="G22" s="180">
        <f t="shared" si="0"/>
        <v>0</v>
      </c>
    </row>
    <row r="23" spans="2:7" ht="16.5" customHeight="1">
      <c r="B23" s="108" t="s">
        <v>57</v>
      </c>
      <c r="C23" s="85"/>
      <c r="D23" s="120"/>
      <c r="E23" s="121"/>
      <c r="F23" s="177"/>
      <c r="G23" s="180">
        <f t="shared" si="0"/>
        <v>0</v>
      </c>
    </row>
    <row r="24" spans="2:7" ht="16.5" customHeight="1">
      <c r="B24" s="109" t="s">
        <v>364</v>
      </c>
      <c r="C24" s="87">
        <v>6</v>
      </c>
      <c r="D24" s="122">
        <v>21553189</v>
      </c>
      <c r="E24" s="123">
        <v>18321723</v>
      </c>
      <c r="F24" s="174">
        <v>21553189</v>
      </c>
      <c r="G24" s="180">
        <f t="shared" si="0"/>
        <v>0</v>
      </c>
    </row>
    <row r="25" spans="2:7" ht="16.5" customHeight="1">
      <c r="B25" s="109" t="s">
        <v>365</v>
      </c>
      <c r="C25" s="87">
        <v>7</v>
      </c>
      <c r="D25" s="122">
        <f>5091325-150048</f>
        <v>4941277</v>
      </c>
      <c r="E25" s="123">
        <f>3204834-178891</f>
        <v>3025943</v>
      </c>
      <c r="F25" s="174">
        <v>5091325</v>
      </c>
      <c r="G25" s="180">
        <f t="shared" si="0"/>
        <v>-150048</v>
      </c>
    </row>
    <row r="26" spans="2:7" ht="16.5" customHeight="1">
      <c r="B26" s="109" t="s">
        <v>366</v>
      </c>
      <c r="C26" s="87"/>
      <c r="D26" s="122"/>
      <c r="E26" s="123"/>
      <c r="F26" s="174">
        <v>0</v>
      </c>
      <c r="G26" s="180">
        <f t="shared" si="0"/>
        <v>0</v>
      </c>
    </row>
    <row r="27" spans="2:7" ht="16.5" customHeight="1">
      <c r="B27" s="109" t="s">
        <v>367</v>
      </c>
      <c r="C27" s="87">
        <v>10</v>
      </c>
      <c r="D27" s="122">
        <v>44149444</v>
      </c>
      <c r="E27" s="123">
        <v>30503718</v>
      </c>
      <c r="F27" s="174">
        <v>44149444</v>
      </c>
      <c r="G27" s="180">
        <f t="shared" si="0"/>
        <v>0</v>
      </c>
    </row>
    <row r="28" spans="2:7" ht="16.5" customHeight="1">
      <c r="B28" s="109" t="s">
        <v>368</v>
      </c>
      <c r="C28" s="87"/>
      <c r="D28" s="122"/>
      <c r="E28" s="123"/>
      <c r="F28" s="174">
        <v>0</v>
      </c>
      <c r="G28" s="180">
        <f t="shared" si="0"/>
        <v>0</v>
      </c>
    </row>
    <row r="29" spans="2:7" ht="16.5" customHeight="1">
      <c r="B29" s="109"/>
      <c r="C29" s="87"/>
      <c r="D29" s="122"/>
      <c r="E29" s="123"/>
      <c r="G29" s="180">
        <f t="shared" si="0"/>
        <v>0</v>
      </c>
    </row>
    <row r="30" spans="2:7" ht="16.5" customHeight="1">
      <c r="B30" s="109" t="s">
        <v>370</v>
      </c>
      <c r="C30" s="87"/>
      <c r="D30" s="122">
        <v>754862</v>
      </c>
      <c r="E30" s="123">
        <v>364739</v>
      </c>
      <c r="F30" s="178">
        <v>754862</v>
      </c>
      <c r="G30" s="180">
        <f t="shared" si="0"/>
        <v>0</v>
      </c>
    </row>
    <row r="31" spans="2:7" ht="30.75" customHeight="1">
      <c r="B31" s="109" t="s">
        <v>421</v>
      </c>
      <c r="C31" s="87"/>
      <c r="D31" s="122">
        <v>80029</v>
      </c>
      <c r="E31" s="123">
        <f>429428-364739</f>
        <v>64689</v>
      </c>
      <c r="G31" s="180">
        <f t="shared" si="0"/>
        <v>80029</v>
      </c>
    </row>
    <row r="32" spans="2:7" ht="16.5" customHeight="1">
      <c r="B32" s="109" t="s">
        <v>369</v>
      </c>
      <c r="C32" s="87"/>
      <c r="D32" s="122">
        <v>1403673</v>
      </c>
      <c r="E32" s="123">
        <v>1017776</v>
      </c>
      <c r="F32" s="174">
        <v>1403673</v>
      </c>
      <c r="G32" s="180">
        <f t="shared" si="0"/>
        <v>0</v>
      </c>
    </row>
    <row r="33" spans="2:7" ht="16.5" customHeight="1">
      <c r="B33" s="109" t="s">
        <v>422</v>
      </c>
      <c r="C33" s="87"/>
      <c r="D33" s="122">
        <v>152868</v>
      </c>
      <c r="E33" s="123">
        <v>263822</v>
      </c>
      <c r="G33" s="180">
        <f t="shared" si="0"/>
        <v>152868</v>
      </c>
    </row>
    <row r="34" spans="2:7" ht="16.5" customHeight="1">
      <c r="B34" s="109" t="s">
        <v>423</v>
      </c>
      <c r="C34" s="87">
        <v>8</v>
      </c>
      <c r="D34" s="122">
        <v>34276357</v>
      </c>
      <c r="E34" s="123">
        <v>9178855</v>
      </c>
      <c r="F34" s="174">
        <v>34359206</v>
      </c>
      <c r="G34" s="180">
        <f t="shared" si="0"/>
        <v>-82849</v>
      </c>
    </row>
    <row r="35" spans="2:7" ht="16.5" customHeight="1">
      <c r="B35" s="109" t="s">
        <v>371</v>
      </c>
      <c r="C35" s="87">
        <v>9</v>
      </c>
      <c r="D35" s="122">
        <v>5940084</v>
      </c>
      <c r="E35" s="123">
        <v>19186014</v>
      </c>
      <c r="F35" s="174">
        <v>5940084</v>
      </c>
      <c r="G35" s="180">
        <f t="shared" si="0"/>
        <v>0</v>
      </c>
    </row>
    <row r="36" spans="2:7" ht="32.25" customHeight="1">
      <c r="B36" s="109" t="s">
        <v>405</v>
      </c>
      <c r="C36" s="87">
        <v>11</v>
      </c>
      <c r="D36" s="122">
        <v>567002</v>
      </c>
      <c r="E36" s="123">
        <v>592755</v>
      </c>
      <c r="F36" s="174">
        <v>567002</v>
      </c>
      <c r="G36" s="180">
        <f t="shared" si="0"/>
        <v>0</v>
      </c>
    </row>
    <row r="37" spans="2:7" ht="16.5" customHeight="1">
      <c r="B37" s="110" t="s">
        <v>372</v>
      </c>
      <c r="C37" s="31" t="s">
        <v>107</v>
      </c>
      <c r="D37" s="127">
        <f>SUM(D24:D36)</f>
        <v>113818785</v>
      </c>
      <c r="E37" s="135">
        <f>SUM(E24:E36)</f>
        <v>82520034</v>
      </c>
      <c r="F37" s="176">
        <v>113818785</v>
      </c>
      <c r="G37" s="180">
        <f t="shared" si="0"/>
        <v>0</v>
      </c>
    </row>
    <row r="38" spans="2:7" ht="16.5" customHeight="1">
      <c r="B38" s="111" t="s">
        <v>67</v>
      </c>
      <c r="C38" s="26"/>
      <c r="D38" s="127">
        <f>D22+D37</f>
        <v>147108103</v>
      </c>
      <c r="E38" s="135">
        <f>E22+E37</f>
        <v>114079205</v>
      </c>
      <c r="F38" s="176">
        <v>147108103</v>
      </c>
      <c r="G38" s="180">
        <f t="shared" si="0"/>
        <v>0</v>
      </c>
    </row>
    <row r="39" spans="2:7" ht="15.75">
      <c r="B39" s="108" t="s">
        <v>74</v>
      </c>
      <c r="C39" s="85"/>
      <c r="D39" s="120"/>
      <c r="E39" s="121"/>
      <c r="F39" s="174"/>
      <c r="G39" s="180">
        <f t="shared" si="0"/>
        <v>0</v>
      </c>
    </row>
    <row r="40" spans="2:7" ht="15.75">
      <c r="B40" s="108" t="s">
        <v>75</v>
      </c>
      <c r="C40" s="85"/>
      <c r="D40" s="120"/>
      <c r="E40" s="121"/>
      <c r="F40" s="174"/>
      <c r="G40" s="180">
        <f t="shared" si="0"/>
        <v>0</v>
      </c>
    </row>
    <row r="41" spans="2:7" ht="15.75">
      <c r="B41" s="109" t="s">
        <v>293</v>
      </c>
      <c r="C41" s="87">
        <v>12</v>
      </c>
      <c r="D41" s="122">
        <v>21476802</v>
      </c>
      <c r="E41" s="123">
        <v>21476802</v>
      </c>
      <c r="F41" s="174">
        <v>21476802</v>
      </c>
      <c r="G41" s="180">
        <f t="shared" si="0"/>
        <v>0</v>
      </c>
    </row>
    <row r="42" spans="2:7" ht="15.75">
      <c r="B42" s="109" t="s">
        <v>294</v>
      </c>
      <c r="C42" s="87"/>
      <c r="D42" s="122"/>
      <c r="E42" s="123"/>
      <c r="F42" s="174">
        <v>0</v>
      </c>
      <c r="G42" s="180">
        <f t="shared" si="0"/>
        <v>0</v>
      </c>
    </row>
    <row r="43" spans="2:7" ht="15.75">
      <c r="B43" s="109" t="s">
        <v>295</v>
      </c>
      <c r="C43" s="87"/>
      <c r="D43" s="122"/>
      <c r="E43" s="123"/>
      <c r="F43" s="174">
        <v>0</v>
      </c>
      <c r="G43" s="180">
        <f t="shared" si="0"/>
        <v>0</v>
      </c>
    </row>
    <row r="44" spans="2:7" ht="15.75">
      <c r="B44" s="109" t="s">
        <v>296</v>
      </c>
      <c r="C44" s="87">
        <v>13</v>
      </c>
      <c r="D44" s="122">
        <v>841018</v>
      </c>
      <c r="E44" s="123">
        <v>841018</v>
      </c>
      <c r="F44" s="174">
        <v>841018</v>
      </c>
      <c r="G44" s="180">
        <f t="shared" si="0"/>
        <v>0</v>
      </c>
    </row>
    <row r="45" spans="2:7" ht="30">
      <c r="B45" s="109" t="s">
        <v>406</v>
      </c>
      <c r="C45" s="87"/>
      <c r="D45" s="122"/>
      <c r="E45" s="123"/>
      <c r="F45" s="174">
        <v>0</v>
      </c>
      <c r="G45" s="180">
        <f t="shared" si="0"/>
        <v>0</v>
      </c>
    </row>
    <row r="46" spans="2:7" ht="15.75">
      <c r="B46" s="109" t="s">
        <v>297</v>
      </c>
      <c r="C46" s="87"/>
      <c r="D46" s="122"/>
      <c r="E46" s="123"/>
      <c r="F46" s="174">
        <v>0</v>
      </c>
      <c r="G46" s="180">
        <f t="shared" si="0"/>
        <v>0</v>
      </c>
    </row>
    <row r="47" spans="2:7" ht="15.75">
      <c r="B47" s="109" t="s">
        <v>298</v>
      </c>
      <c r="C47" s="87"/>
      <c r="D47" s="122"/>
      <c r="E47" s="123"/>
      <c r="F47" s="174">
        <v>0</v>
      </c>
      <c r="G47" s="180">
        <f t="shared" si="0"/>
        <v>0</v>
      </c>
    </row>
    <row r="48" spans="2:7" ht="15.75">
      <c r="B48" s="109" t="s">
        <v>299</v>
      </c>
      <c r="C48" s="87"/>
      <c r="D48" s="122"/>
      <c r="E48" s="123"/>
      <c r="F48" s="174">
        <v>0</v>
      </c>
      <c r="G48" s="180">
        <f t="shared" si="0"/>
        <v>0</v>
      </c>
    </row>
    <row r="49" spans="2:7" ht="15.75">
      <c r="B49" s="109" t="s">
        <v>300</v>
      </c>
      <c r="C49" s="87"/>
      <c r="D49" s="122"/>
      <c r="E49" s="123"/>
      <c r="F49" s="174">
        <v>0</v>
      </c>
      <c r="G49" s="180">
        <f t="shared" si="0"/>
        <v>0</v>
      </c>
    </row>
    <row r="50" spans="2:7" ht="15.75">
      <c r="B50" s="109" t="s">
        <v>301</v>
      </c>
      <c r="C50" s="87"/>
      <c r="D50" s="122"/>
      <c r="E50" s="123"/>
      <c r="F50" s="174">
        <v>0</v>
      </c>
      <c r="G50" s="180">
        <f t="shared" si="0"/>
        <v>0</v>
      </c>
    </row>
    <row r="51" spans="2:7" ht="15.75">
      <c r="B51" s="109" t="s">
        <v>302</v>
      </c>
      <c r="C51" s="87"/>
      <c r="D51" s="122">
        <v>208124</v>
      </c>
      <c r="E51" s="123">
        <v>1673171</v>
      </c>
      <c r="F51" s="174">
        <v>208124</v>
      </c>
      <c r="G51" s="180">
        <f t="shared" si="0"/>
        <v>0</v>
      </c>
    </row>
    <row r="52" spans="2:7" ht="15.75">
      <c r="B52" s="112" t="s">
        <v>89</v>
      </c>
      <c r="C52" s="26"/>
      <c r="D52" s="127">
        <f>IF(SUM(D41:D51)=0,"",SUM(D41:D51))</f>
        <v>22525944</v>
      </c>
      <c r="E52" s="135">
        <f>IF(SUM(E41:E51)=0,"",SUM(E41:E51))</f>
        <v>23990991</v>
      </c>
      <c r="F52" s="176">
        <v>22525944</v>
      </c>
      <c r="G52" s="180">
        <f t="shared" si="0"/>
        <v>0</v>
      </c>
    </row>
    <row r="53" spans="2:7" ht="15.75">
      <c r="B53" s="109" t="s">
        <v>373</v>
      </c>
      <c r="C53" s="87"/>
      <c r="D53" s="122">
        <v>677473</v>
      </c>
      <c r="E53" s="123">
        <v>656018</v>
      </c>
      <c r="F53" s="174">
        <v>677473</v>
      </c>
      <c r="G53" s="180">
        <f t="shared" si="0"/>
        <v>0</v>
      </c>
    </row>
    <row r="54" spans="2:7" ht="15.75">
      <c r="B54" s="110" t="s">
        <v>304</v>
      </c>
      <c r="C54" s="31" t="s">
        <v>107</v>
      </c>
      <c r="D54" s="127">
        <f>D52+D53</f>
        <v>23203417</v>
      </c>
      <c r="E54" s="135">
        <f>E52+E53</f>
        <v>24647009</v>
      </c>
      <c r="F54" s="176">
        <v>23203417</v>
      </c>
      <c r="G54" s="180">
        <f t="shared" si="0"/>
        <v>0</v>
      </c>
    </row>
    <row r="55" spans="2:7" ht="15.75">
      <c r="B55" s="108" t="s">
        <v>83</v>
      </c>
      <c r="C55" s="85"/>
      <c r="D55" s="120"/>
      <c r="E55" s="121"/>
      <c r="F55" s="179"/>
      <c r="G55" s="180">
        <f t="shared" si="0"/>
        <v>0</v>
      </c>
    </row>
    <row r="56" spans="2:7" ht="15.75">
      <c r="B56" s="109" t="s">
        <v>374</v>
      </c>
      <c r="C56" s="87"/>
      <c r="D56" s="122"/>
      <c r="E56" s="123"/>
      <c r="F56" s="174">
        <v>0</v>
      </c>
      <c r="G56" s="180">
        <f t="shared" si="0"/>
        <v>0</v>
      </c>
    </row>
    <row r="57" spans="2:7" ht="30">
      <c r="B57" s="109" t="s">
        <v>375</v>
      </c>
      <c r="C57" s="87"/>
      <c r="D57" s="122"/>
      <c r="E57" s="123"/>
      <c r="F57" s="174">
        <v>0</v>
      </c>
      <c r="G57" s="180">
        <f t="shared" si="0"/>
        <v>0</v>
      </c>
    </row>
    <row r="58" spans="2:7" ht="15.75">
      <c r="B58" s="109" t="s">
        <v>376</v>
      </c>
      <c r="C58" s="87"/>
      <c r="D58" s="122"/>
      <c r="E58" s="123"/>
      <c r="F58" s="174">
        <v>0</v>
      </c>
      <c r="G58" s="180">
        <f t="shared" si="0"/>
        <v>0</v>
      </c>
    </row>
    <row r="59" spans="2:7" ht="15.75">
      <c r="B59" s="109" t="s">
        <v>377</v>
      </c>
      <c r="C59" s="87">
        <v>15</v>
      </c>
      <c r="D59" s="122">
        <v>557809</v>
      </c>
      <c r="E59" s="123">
        <v>623235</v>
      </c>
      <c r="F59" s="174">
        <v>557809</v>
      </c>
      <c r="G59" s="180">
        <f t="shared" si="0"/>
        <v>0</v>
      </c>
    </row>
    <row r="60" spans="2:7" ht="15.75">
      <c r="B60" s="109" t="s">
        <v>378</v>
      </c>
      <c r="C60" s="87"/>
      <c r="D60" s="122">
        <v>36296</v>
      </c>
      <c r="E60" s="123">
        <v>37393</v>
      </c>
      <c r="F60" s="174">
        <v>36296</v>
      </c>
      <c r="G60" s="180">
        <f t="shared" si="0"/>
        <v>0</v>
      </c>
    </row>
    <row r="61" spans="2:7" ht="30">
      <c r="B61" s="109" t="s">
        <v>379</v>
      </c>
      <c r="C61" s="87"/>
      <c r="D61" s="122"/>
      <c r="E61" s="123"/>
      <c r="F61" s="174">
        <v>0</v>
      </c>
      <c r="G61" s="180">
        <f t="shared" si="0"/>
        <v>0</v>
      </c>
    </row>
    <row r="62" spans="2:7" ht="15.75">
      <c r="B62" s="109" t="s">
        <v>380</v>
      </c>
      <c r="C62" s="87"/>
      <c r="D62" s="122">
        <v>1050350</v>
      </c>
      <c r="E62" s="123">
        <v>960755</v>
      </c>
      <c r="F62" s="174">
        <v>1050350</v>
      </c>
      <c r="G62" s="180">
        <f t="shared" si="0"/>
        <v>0</v>
      </c>
    </row>
    <row r="63" spans="2:7" ht="30">
      <c r="B63" s="109" t="s">
        <v>381</v>
      </c>
      <c r="C63" s="87"/>
      <c r="D63" s="122">
        <v>3429</v>
      </c>
      <c r="E63" s="123">
        <v>3429</v>
      </c>
      <c r="F63" s="174">
        <v>3429</v>
      </c>
      <c r="G63" s="180">
        <f t="shared" si="0"/>
        <v>0</v>
      </c>
    </row>
    <row r="64" spans="2:7" ht="15.75">
      <c r="B64" s="109" t="s">
        <v>424</v>
      </c>
      <c r="C64" s="87"/>
      <c r="D64" s="122">
        <v>229885</v>
      </c>
      <c r="E64" s="123">
        <v>229885</v>
      </c>
      <c r="F64" s="174"/>
      <c r="G64" s="180">
        <f t="shared" si="0"/>
        <v>229885</v>
      </c>
    </row>
    <row r="65" spans="2:7" ht="15.75">
      <c r="B65" s="109" t="s">
        <v>382</v>
      </c>
      <c r="C65" s="87"/>
      <c r="D65" s="122">
        <v>92590</v>
      </c>
      <c r="E65" s="123">
        <v>126840</v>
      </c>
      <c r="F65" s="174">
        <v>92590</v>
      </c>
      <c r="G65" s="180">
        <f t="shared" si="0"/>
        <v>0</v>
      </c>
    </row>
    <row r="66" spans="2:7" ht="15.75">
      <c r="B66" s="109" t="s">
        <v>383</v>
      </c>
      <c r="C66" s="87"/>
      <c r="D66" s="122">
        <f>276636-229885</f>
        <v>46751</v>
      </c>
      <c r="E66" s="123">
        <f>276245-229885</f>
        <v>46360</v>
      </c>
      <c r="F66" s="174">
        <v>276636</v>
      </c>
      <c r="G66" s="180">
        <f t="shared" si="0"/>
        <v>-229885</v>
      </c>
    </row>
    <row r="67" spans="2:7" ht="15.75">
      <c r="B67" s="110" t="s">
        <v>384</v>
      </c>
      <c r="C67" s="31" t="s">
        <v>107</v>
      </c>
      <c r="D67" s="127">
        <f>SUM(D56:D66)</f>
        <v>2017110</v>
      </c>
      <c r="E67" s="135">
        <f>SUM(E56:E66)</f>
        <v>2027897</v>
      </c>
      <c r="F67" s="176">
        <v>2017110</v>
      </c>
      <c r="G67" s="180">
        <f t="shared" si="0"/>
        <v>0</v>
      </c>
    </row>
    <row r="68" spans="2:7" ht="15.75">
      <c r="B68" s="108" t="s">
        <v>85</v>
      </c>
      <c r="C68" s="85"/>
      <c r="D68" s="120"/>
      <c r="E68" s="121"/>
      <c r="F68" s="174"/>
      <c r="G68" s="180">
        <f t="shared" si="0"/>
        <v>0</v>
      </c>
    </row>
    <row r="69" spans="2:7" ht="15.75">
      <c r="B69" s="109" t="s">
        <v>385</v>
      </c>
      <c r="C69" s="87">
        <v>14</v>
      </c>
      <c r="D69" s="122">
        <v>69186190</v>
      </c>
      <c r="E69" s="123">
        <v>68786056</v>
      </c>
      <c r="F69" s="174">
        <v>69186190</v>
      </c>
      <c r="G69" s="180">
        <f t="shared" si="0"/>
        <v>0</v>
      </c>
    </row>
    <row r="70" spans="2:7" ht="30">
      <c r="B70" s="109" t="s">
        <v>386</v>
      </c>
      <c r="C70" s="87"/>
      <c r="D70" s="122"/>
      <c r="E70" s="123"/>
      <c r="F70" s="174">
        <v>0</v>
      </c>
      <c r="G70" s="180">
        <f t="shared" si="0"/>
        <v>0</v>
      </c>
    </row>
    <row r="71" spans="2:7" ht="15.75">
      <c r="B71" s="109" t="s">
        <v>387</v>
      </c>
      <c r="C71" s="87"/>
      <c r="D71" s="122"/>
      <c r="E71" s="123"/>
      <c r="F71" s="174">
        <v>0</v>
      </c>
      <c r="G71" s="180">
        <f t="shared" si="0"/>
        <v>0</v>
      </c>
    </row>
    <row r="72" spans="2:7" ht="15.75">
      <c r="B72" s="109" t="s">
        <v>377</v>
      </c>
      <c r="C72" s="87">
        <v>15</v>
      </c>
      <c r="D72" s="122">
        <v>128233</v>
      </c>
      <c r="E72" s="123">
        <v>127038</v>
      </c>
      <c r="F72" s="174">
        <v>128233</v>
      </c>
      <c r="G72" s="180">
        <f t="shared" si="0"/>
        <v>0</v>
      </c>
    </row>
    <row r="73" spans="2:7" ht="15.75">
      <c r="B73" s="109" t="s">
        <v>378</v>
      </c>
      <c r="C73" s="87"/>
      <c r="D73" s="122">
        <v>6460</v>
      </c>
      <c r="E73" s="123">
        <v>11582</v>
      </c>
      <c r="F73" s="174">
        <v>6460</v>
      </c>
      <c r="G73" s="180">
        <f t="shared" si="0"/>
        <v>0</v>
      </c>
    </row>
    <row r="74" spans="2:7" ht="30">
      <c r="B74" s="109" t="s">
        <v>388</v>
      </c>
      <c r="C74" s="87"/>
      <c r="D74" s="122"/>
      <c r="E74" s="123"/>
      <c r="F74" s="174">
        <v>0</v>
      </c>
      <c r="G74" s="180">
        <f aca="true" t="shared" si="1" ref="G74:G82">D74-F74</f>
        <v>0</v>
      </c>
    </row>
    <row r="75" spans="2:7" ht="15.75">
      <c r="B75" s="109" t="s">
        <v>389</v>
      </c>
      <c r="C75" s="87">
        <v>16</v>
      </c>
      <c r="D75" s="122">
        <f>4511189-230910</f>
        <v>4280279</v>
      </c>
      <c r="E75" s="123">
        <v>3248977</v>
      </c>
      <c r="F75" s="174">
        <v>4511189</v>
      </c>
      <c r="G75" s="180">
        <f t="shared" si="1"/>
        <v>-230910</v>
      </c>
    </row>
    <row r="76" spans="2:7" ht="15.75">
      <c r="B76" s="109" t="s">
        <v>390</v>
      </c>
      <c r="C76" s="87"/>
      <c r="D76" s="122">
        <v>167170</v>
      </c>
      <c r="E76" s="123">
        <v>318425</v>
      </c>
      <c r="F76" s="174">
        <v>167170</v>
      </c>
      <c r="G76" s="180">
        <f t="shared" si="1"/>
        <v>0</v>
      </c>
    </row>
    <row r="77" spans="2:7" ht="30">
      <c r="B77" s="109" t="s">
        <v>391</v>
      </c>
      <c r="C77" s="87">
        <v>17</v>
      </c>
      <c r="D77" s="122">
        <f>330435+180044</f>
        <v>510479</v>
      </c>
      <c r="E77" s="123">
        <v>2350304</v>
      </c>
      <c r="F77" s="174">
        <v>330435</v>
      </c>
      <c r="G77" s="180">
        <f t="shared" si="1"/>
        <v>180044</v>
      </c>
    </row>
    <row r="78" spans="2:7" ht="15.75">
      <c r="B78" s="109" t="s">
        <v>392</v>
      </c>
      <c r="C78" s="87">
        <v>18</v>
      </c>
      <c r="D78" s="122">
        <f>47293555+264344+230910-180044</f>
        <v>47608765</v>
      </c>
      <c r="E78" s="123">
        <v>12561917</v>
      </c>
      <c r="F78" s="174">
        <f>47293555+264344</f>
        <v>47557899</v>
      </c>
      <c r="G78" s="180">
        <f t="shared" si="1"/>
        <v>50866</v>
      </c>
    </row>
    <row r="79" spans="2:7" ht="45">
      <c r="B79" s="109" t="s">
        <v>407</v>
      </c>
      <c r="C79" s="87"/>
      <c r="D79" s="122"/>
      <c r="E79" s="123"/>
      <c r="G79" s="180">
        <f t="shared" si="1"/>
        <v>0</v>
      </c>
    </row>
    <row r="80" spans="2:7" ht="15.75">
      <c r="B80" s="110" t="s">
        <v>393</v>
      </c>
      <c r="C80" s="31" t="s">
        <v>107</v>
      </c>
      <c r="D80" s="127">
        <f>SUM(D69:D79)</f>
        <v>121887576</v>
      </c>
      <c r="E80" s="135">
        <f>SUM(E69:E79)</f>
        <v>87404299</v>
      </c>
      <c r="F80" s="176">
        <v>121887576</v>
      </c>
      <c r="G80" s="180">
        <f t="shared" si="1"/>
        <v>0</v>
      </c>
    </row>
    <row r="81" spans="2:7" ht="15.75">
      <c r="B81" s="111" t="s">
        <v>86</v>
      </c>
      <c r="C81" s="26"/>
      <c r="D81" s="127">
        <f>D67+D80</f>
        <v>123904686</v>
      </c>
      <c r="E81" s="135">
        <f>E67+E80</f>
        <v>89432196</v>
      </c>
      <c r="F81" s="176">
        <v>123904686</v>
      </c>
      <c r="G81" s="180">
        <f t="shared" si="1"/>
        <v>0</v>
      </c>
    </row>
    <row r="82" spans="2:7" ht="15.75">
      <c r="B82" s="111" t="s">
        <v>87</v>
      </c>
      <c r="C82" s="26"/>
      <c r="D82" s="127">
        <f>D54+D81</f>
        <v>147108103</v>
      </c>
      <c r="E82" s="135">
        <f>E54+E81</f>
        <v>114079205</v>
      </c>
      <c r="F82" s="176">
        <v>147108103</v>
      </c>
      <c r="G82" s="180">
        <f t="shared" si="1"/>
        <v>0</v>
      </c>
    </row>
    <row r="83" spans="2:5" ht="15.75" thickBot="1">
      <c r="B83" s="113" t="s">
        <v>394</v>
      </c>
      <c r="C83" s="114">
        <v>21</v>
      </c>
      <c r="D83" s="138">
        <f>(D38-D10-D81)/D41</f>
        <v>1.0606506033812668</v>
      </c>
      <c r="E83" s="138">
        <f>(E38-E10-E81)/E41</f>
        <v>1.1267490848963453</v>
      </c>
    </row>
    <row r="84" spans="4:6" ht="12.75">
      <c r="D84" s="137"/>
      <c r="E84" s="136"/>
      <c r="F84" s="155"/>
    </row>
    <row r="85" spans="2:5" ht="15">
      <c r="B85" s="86"/>
      <c r="C85" s="88"/>
      <c r="D85" s="172">
        <f>D38-D82</f>
        <v>0</v>
      </c>
      <c r="E85" s="172">
        <f>E38-E82</f>
        <v>0</v>
      </c>
    </row>
    <row r="86" spans="2:4" ht="19.5" customHeight="1">
      <c r="B86" s="102" t="s">
        <v>408</v>
      </c>
      <c r="C86" s="103"/>
      <c r="D86" s="124"/>
    </row>
    <row r="87" spans="2:4" ht="19.5" customHeight="1">
      <c r="B87" s="102" t="s">
        <v>479</v>
      </c>
      <c r="C87" s="103"/>
      <c r="D87" s="102" t="s">
        <v>483</v>
      </c>
    </row>
    <row r="88" spans="2:4" ht="30.75" customHeight="1">
      <c r="B88" s="102" t="s">
        <v>480</v>
      </c>
      <c r="C88" s="103"/>
      <c r="D88" s="102"/>
    </row>
    <row r="89" spans="2:4" ht="15">
      <c r="B89" s="6"/>
      <c r="C89" s="103"/>
      <c r="D89" s="124"/>
    </row>
    <row r="90" spans="2:3" ht="15">
      <c r="B90" s="86" t="s">
        <v>419</v>
      </c>
      <c r="C90" s="88"/>
    </row>
    <row r="91" spans="2:3" ht="15">
      <c r="B91" s="86"/>
      <c r="C91" s="88"/>
    </row>
    <row r="101" spans="3:6" s="116" customFormat="1" ht="12.75">
      <c r="C101" s="115"/>
      <c r="D101" s="125"/>
      <c r="E101" s="125"/>
      <c r="F101" s="89"/>
    </row>
    <row r="102" spans="3:5" s="116" customFormat="1" ht="12.75">
      <c r="C102" s="115"/>
      <c r="D102" s="125"/>
      <c r="E102" s="125"/>
    </row>
    <row r="103" spans="3:5" s="116" customFormat="1" ht="18" customHeight="1">
      <c r="C103" s="115"/>
      <c r="D103" s="126">
        <f>D38-D82</f>
        <v>0</v>
      </c>
      <c r="E103" s="126">
        <f>E38-E82</f>
        <v>0</v>
      </c>
    </row>
    <row r="104" ht="12.75">
      <c r="F104" s="116"/>
    </row>
  </sheetData>
  <sheetProtection/>
  <printOptions/>
  <pageMargins left="0.7" right="0.7" top="0.75" bottom="0.75" header="0.3" footer="0.3"/>
  <pageSetup fitToHeight="2" fitToWidth="1" horizontalDpi="1200" verticalDpi="1200" orientation="portrait" paperSize="9" scale="79" r:id="rId1"/>
  <rowBreaks count="1" manualBreakCount="1">
    <brk id="62" max="4" man="1"/>
  </rowBreaks>
  <colBreaks count="1" manualBreakCount="1">
    <brk id="5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U85"/>
  <sheetViews>
    <sheetView view="pageBreakPreview" zoomScale="90" zoomScaleNormal="80" zoomScaleSheetLayoutView="90" zoomScalePageLayoutView="0" workbookViewId="0" topLeftCell="A30">
      <selection activeCell="B126" sqref="B126"/>
    </sheetView>
  </sheetViews>
  <sheetFormatPr defaultColWidth="21.7109375" defaultRowHeight="15"/>
  <cols>
    <col min="1" max="1" width="0.9921875" style="141" customWidth="1"/>
    <col min="2" max="2" width="62.421875" style="141" customWidth="1"/>
    <col min="3" max="3" width="8.140625" style="140" customWidth="1"/>
    <col min="4" max="4" width="17.8515625" style="141" customWidth="1"/>
    <col min="5" max="5" width="19.28125" style="141" customWidth="1"/>
    <col min="6" max="22" width="21.7109375" style="141" customWidth="1"/>
    <col min="23" max="16384" width="21.7109375" style="141" customWidth="1"/>
  </cols>
  <sheetData>
    <row r="1" ht="15">
      <c r="B1" s="139"/>
    </row>
    <row r="2" spans="2:7" ht="15">
      <c r="B2" s="139"/>
      <c r="F2" s="142"/>
      <c r="G2" s="142"/>
    </row>
    <row r="3" ht="15">
      <c r="B3" s="139" t="s">
        <v>395</v>
      </c>
    </row>
    <row r="4" ht="15">
      <c r="B4" s="143" t="s">
        <v>429</v>
      </c>
    </row>
    <row r="5" ht="15">
      <c r="B5" s="144"/>
    </row>
    <row r="6" spans="2:21" ht="15.75" thickBot="1">
      <c r="B6" s="143"/>
      <c r="E6" s="145" t="s">
        <v>396</v>
      </c>
      <c r="G6" s="146"/>
      <c r="I6" s="146"/>
      <c r="K6" s="146"/>
      <c r="L6" s="146"/>
      <c r="M6" s="146"/>
      <c r="N6" s="146"/>
      <c r="P6" s="146"/>
      <c r="Q6" s="146"/>
      <c r="U6" s="146"/>
    </row>
    <row r="7" spans="2:5" ht="31.5" customHeight="1" thickBot="1">
      <c r="B7" s="132"/>
      <c r="C7" s="133" t="s">
        <v>397</v>
      </c>
      <c r="D7" s="133" t="s">
        <v>96</v>
      </c>
      <c r="E7" s="134" t="s">
        <v>97</v>
      </c>
    </row>
    <row r="8" spans="2:7" ht="15">
      <c r="B8" s="167" t="s">
        <v>105</v>
      </c>
      <c r="C8" s="147">
        <v>20</v>
      </c>
      <c r="D8" s="152">
        <v>13227019</v>
      </c>
      <c r="E8" s="152">
        <v>7517872</v>
      </c>
      <c r="G8" s="181">
        <v>13227019</v>
      </c>
    </row>
    <row r="9" spans="2:7" ht="15">
      <c r="B9" s="167" t="s">
        <v>106</v>
      </c>
      <c r="C9" s="147"/>
      <c r="D9" s="152"/>
      <c r="E9" s="152"/>
      <c r="G9" s="181">
        <v>0</v>
      </c>
    </row>
    <row r="10" spans="2:7" ht="15">
      <c r="B10" s="167" t="s">
        <v>98</v>
      </c>
      <c r="C10" s="147" t="s">
        <v>107</v>
      </c>
      <c r="D10" s="152">
        <f>D8</f>
        <v>13227019</v>
      </c>
      <c r="E10" s="152">
        <f>E8</f>
        <v>7517872</v>
      </c>
      <c r="G10" s="181">
        <v>13227019</v>
      </c>
    </row>
    <row r="11" spans="2:7" ht="15">
      <c r="B11" s="167" t="s">
        <v>108</v>
      </c>
      <c r="C11" s="147">
        <v>21</v>
      </c>
      <c r="D11" s="152">
        <v>-11485162</v>
      </c>
      <c r="E11" s="152">
        <v>-6200534</v>
      </c>
      <c r="G11" s="181">
        <v>-11485162</v>
      </c>
    </row>
    <row r="12" spans="2:7" ht="15">
      <c r="B12" s="167" t="s">
        <v>99</v>
      </c>
      <c r="C12" s="147" t="s">
        <v>107</v>
      </c>
      <c r="D12" s="152">
        <f>D10+D11</f>
        <v>1741857</v>
      </c>
      <c r="E12" s="152">
        <f>E10+E11</f>
        <v>1317338</v>
      </c>
      <c r="G12" s="182">
        <v>1741857</v>
      </c>
    </row>
    <row r="13" spans="2:7" ht="15">
      <c r="B13" s="167" t="s">
        <v>109</v>
      </c>
      <c r="C13" s="147">
        <v>22</v>
      </c>
      <c r="D13" s="152">
        <v>-2535496</v>
      </c>
      <c r="E13" s="152">
        <v>-2089688</v>
      </c>
      <c r="G13" s="181">
        <v>-2535496</v>
      </c>
    </row>
    <row r="14" spans="2:7" ht="15">
      <c r="B14" s="167" t="s">
        <v>110</v>
      </c>
      <c r="C14" s="147">
        <v>23</v>
      </c>
      <c r="D14" s="152">
        <v>-342506</v>
      </c>
      <c r="E14" s="152">
        <v>-406789</v>
      </c>
      <c r="G14" s="181">
        <v>-342506</v>
      </c>
    </row>
    <row r="15" spans="2:7" ht="15">
      <c r="B15" s="167" t="s">
        <v>111</v>
      </c>
      <c r="C15" s="147"/>
      <c r="D15" s="152"/>
      <c r="E15" s="152"/>
      <c r="G15" s="181">
        <v>0</v>
      </c>
    </row>
    <row r="16" spans="2:7" ht="30">
      <c r="B16" s="167" t="s">
        <v>112</v>
      </c>
      <c r="C16" s="147"/>
      <c r="D16" s="152"/>
      <c r="E16" s="152"/>
      <c r="G16" s="181">
        <v>0</v>
      </c>
    </row>
    <row r="17" spans="2:7" ht="15">
      <c r="B17" s="167" t="s">
        <v>113</v>
      </c>
      <c r="C17" s="147"/>
      <c r="D17" s="152">
        <v>-31100</v>
      </c>
      <c r="E17" s="152">
        <v>19282</v>
      </c>
      <c r="G17" s="181">
        <v>-31100</v>
      </c>
    </row>
    <row r="18" spans="2:7" ht="15">
      <c r="B18" s="167" t="s">
        <v>114</v>
      </c>
      <c r="C18" s="147"/>
      <c r="D18" s="152">
        <v>37810</v>
      </c>
      <c r="E18" s="152">
        <v>769</v>
      </c>
      <c r="G18" s="181">
        <v>37810</v>
      </c>
    </row>
    <row r="19" spans="2:7" ht="15">
      <c r="B19" s="167" t="s">
        <v>100</v>
      </c>
      <c r="C19" s="147" t="s">
        <v>107</v>
      </c>
      <c r="D19" s="152">
        <f>SUM(D12:D18)</f>
        <v>-1129435</v>
      </c>
      <c r="E19" s="152">
        <f>SUM(E12:E18)</f>
        <v>-1159088</v>
      </c>
      <c r="G19" s="182">
        <v>-1129435</v>
      </c>
    </row>
    <row r="20" spans="2:7" ht="15">
      <c r="B20" s="167" t="s">
        <v>115</v>
      </c>
      <c r="C20" s="147">
        <v>24</v>
      </c>
      <c r="D20" s="152">
        <v>542311</v>
      </c>
      <c r="E20" s="152">
        <v>275317</v>
      </c>
      <c r="G20" s="181">
        <v>542311</v>
      </c>
    </row>
    <row r="21" spans="2:7" ht="15">
      <c r="B21" s="167" t="s">
        <v>116</v>
      </c>
      <c r="C21" s="147">
        <v>24</v>
      </c>
      <c r="D21" s="152">
        <v>-682020</v>
      </c>
      <c r="E21" s="152">
        <v>-161049</v>
      </c>
      <c r="G21" s="181">
        <v>-682020</v>
      </c>
    </row>
    <row r="22" spans="2:7" ht="15">
      <c r="B22" s="167" t="s">
        <v>117</v>
      </c>
      <c r="C22" s="147">
        <v>25</v>
      </c>
      <c r="D22" s="152">
        <v>1662877</v>
      </c>
      <c r="E22" s="152">
        <v>1041828</v>
      </c>
      <c r="G22" s="181">
        <v>1662877</v>
      </c>
    </row>
    <row r="23" spans="2:7" ht="15">
      <c r="B23" s="167" t="s">
        <v>118</v>
      </c>
      <c r="C23" s="147">
        <v>26</v>
      </c>
      <c r="D23" s="152">
        <v>-1615703</v>
      </c>
      <c r="E23" s="152">
        <v>-1195542</v>
      </c>
      <c r="G23" s="181">
        <v>-1615703</v>
      </c>
    </row>
    <row r="24" spans="2:7" ht="15">
      <c r="B24" s="167" t="s">
        <v>119</v>
      </c>
      <c r="C24" s="147">
        <v>27</v>
      </c>
      <c r="D24" s="152">
        <v>917102</v>
      </c>
      <c r="E24" s="152">
        <v>-167714</v>
      </c>
      <c r="G24" s="181">
        <v>917102</v>
      </c>
    </row>
    <row r="25" spans="2:7" ht="15">
      <c r="B25" s="167" t="s">
        <v>120</v>
      </c>
      <c r="C25" s="147">
        <v>4</v>
      </c>
      <c r="D25" s="152">
        <v>41495</v>
      </c>
      <c r="E25" s="152">
        <v>-115387</v>
      </c>
      <c r="G25" s="181">
        <v>41495</v>
      </c>
    </row>
    <row r="26" spans="2:7" ht="30">
      <c r="B26" s="167" t="s">
        <v>121</v>
      </c>
      <c r="C26" s="147">
        <v>4</v>
      </c>
      <c r="D26" s="152">
        <v>-855193</v>
      </c>
      <c r="E26" s="152">
        <v>-314905</v>
      </c>
      <c r="G26" s="181">
        <v>-855193</v>
      </c>
    </row>
    <row r="27" spans="2:7" ht="15">
      <c r="B27" s="167" t="s">
        <v>122</v>
      </c>
      <c r="C27" s="147"/>
      <c r="D27" s="152"/>
      <c r="E27" s="152"/>
      <c r="G27" s="181">
        <v>0</v>
      </c>
    </row>
    <row r="28" spans="2:7" ht="15">
      <c r="B28" s="167" t="s">
        <v>101</v>
      </c>
      <c r="C28" s="147" t="s">
        <v>107</v>
      </c>
      <c r="D28" s="152">
        <f>SUM(D19:D27)</f>
        <v>-1118566</v>
      </c>
      <c r="E28" s="152">
        <f>SUM(E19:E27)</f>
        <v>-1796540</v>
      </c>
      <c r="G28" s="182">
        <v>-1118566</v>
      </c>
    </row>
    <row r="29" spans="2:7" ht="15">
      <c r="B29" s="167" t="s">
        <v>123</v>
      </c>
      <c r="C29" s="147">
        <v>28</v>
      </c>
      <c r="D29" s="152">
        <v>-289492</v>
      </c>
      <c r="E29" s="152">
        <v>-55374</v>
      </c>
      <c r="G29" s="181">
        <v>-289492</v>
      </c>
    </row>
    <row r="30" spans="2:7" ht="15">
      <c r="B30" s="167" t="s">
        <v>102</v>
      </c>
      <c r="C30" s="147" t="s">
        <v>107</v>
      </c>
      <c r="D30" s="152">
        <f>D28+D29</f>
        <v>-1408058</v>
      </c>
      <c r="E30" s="152">
        <f>E28+E29</f>
        <v>-1851914</v>
      </c>
      <c r="G30" s="181">
        <v>-1408058</v>
      </c>
    </row>
    <row r="31" spans="2:7" ht="15">
      <c r="B31" s="167" t="s">
        <v>124</v>
      </c>
      <c r="C31" s="147"/>
      <c r="D31" s="152"/>
      <c r="E31" s="152"/>
      <c r="G31" s="181">
        <v>0</v>
      </c>
    </row>
    <row r="32" spans="2:7" ht="15" hidden="1">
      <c r="B32" s="162" t="e">
        <f>IF(_XLL.EVPRO(#REF!,#REF!,"U_EVDESCRIPTION")="#NODATA","",_XLL.EVPRO(#REF!,#REF!,"U_EVDESCRIPTION"))</f>
        <v>#NAME?</v>
      </c>
      <c r="C32" s="148" t="e">
        <f>IF(_XLL.EVPRO("LEGAL",#REF!,"FORM")="Ф2","",IF(_XLL.EVPRO("LEGAL",#REF!,"FORM")="#NODATA","",_XLL.EVPRO("LEGAL",#REF!,"FORM")))</f>
        <v>#NAME?</v>
      </c>
      <c r="D32" s="152">
        <v>1078084</v>
      </c>
      <c r="E32" s="152">
        <v>1078084</v>
      </c>
      <c r="G32" s="181">
        <v>0</v>
      </c>
    </row>
    <row r="33" spans="2:7" ht="15">
      <c r="B33" s="167" t="s">
        <v>103</v>
      </c>
      <c r="C33" s="147" t="s">
        <v>107</v>
      </c>
      <c r="D33" s="152">
        <f>D30</f>
        <v>-1408058</v>
      </c>
      <c r="E33" s="152">
        <f>E30</f>
        <v>-1851914</v>
      </c>
      <c r="G33" s="182">
        <v>-1408058</v>
      </c>
    </row>
    <row r="34" spans="2:7" ht="15" hidden="1">
      <c r="B34" s="162"/>
      <c r="C34" s="148" t="e">
        <f>IF(_XLL.EVPRO("LEGAL",#REF!,"FORM")="Ф2","",IF(_XLL.EVPRO("LEGAL",#REF!,"FORM")="#NODATA","",_XLL.EVPRO("LEGAL",#REF!,"FORM")))</f>
        <v>#NAME?</v>
      </c>
      <c r="D34" s="152">
        <v>-33196</v>
      </c>
      <c r="E34" s="152">
        <v>-33196</v>
      </c>
      <c r="G34" s="181">
        <v>0</v>
      </c>
    </row>
    <row r="35" spans="2:7" ht="15" hidden="1">
      <c r="B35" s="162"/>
      <c r="C35" s="148" t="e">
        <f>IF(_XLL.EVPRO("LEGAL",#REF!,"FORM")="Ф2","",IF(_XLL.EVPRO("LEGAL",#REF!,"FORM")="#NODATA","",_XLL.EVPRO("LEGAL",#REF!,"FORM")))</f>
        <v>#NAME?</v>
      </c>
      <c r="D35" s="152"/>
      <c r="E35" s="152"/>
      <c r="G35" s="181">
        <v>-1465047</v>
      </c>
    </row>
    <row r="36" spans="2:7" ht="15" hidden="1">
      <c r="B36" s="163"/>
      <c r="C36" s="147" t="s">
        <v>107</v>
      </c>
      <c r="D36" s="152" t="s">
        <v>16</v>
      </c>
      <c r="E36" s="152" t="s">
        <v>16</v>
      </c>
      <c r="G36" s="181">
        <v>56989</v>
      </c>
    </row>
    <row r="37" spans="2:7" ht="15" hidden="1">
      <c r="B37" s="163"/>
      <c r="C37" s="147" t="s">
        <v>107</v>
      </c>
      <c r="D37" s="152" t="s">
        <v>94</v>
      </c>
      <c r="E37" s="152" t="s">
        <v>94</v>
      </c>
      <c r="G37" s="183">
        <v>0</v>
      </c>
    </row>
    <row r="38" spans="2:7" ht="15" hidden="1">
      <c r="B38" s="163"/>
      <c r="C38" s="147" t="s">
        <v>107</v>
      </c>
      <c r="D38" s="152" t="s">
        <v>93</v>
      </c>
      <c r="E38" s="152" t="s">
        <v>93</v>
      </c>
      <c r="G38" s="183">
        <v>0</v>
      </c>
    </row>
    <row r="39" spans="2:7" ht="30">
      <c r="B39" s="162" t="s">
        <v>134</v>
      </c>
      <c r="C39" s="148"/>
      <c r="D39" s="153">
        <f>D33-D40</f>
        <v>-1465047</v>
      </c>
      <c r="E39" s="153">
        <f>E33-E40</f>
        <v>-1898991</v>
      </c>
      <c r="F39" s="149"/>
      <c r="G39" s="181">
        <v>0</v>
      </c>
    </row>
    <row r="40" spans="2:7" ht="30">
      <c r="B40" s="162" t="s">
        <v>135</v>
      </c>
      <c r="C40" s="148"/>
      <c r="D40" s="153">
        <v>56989</v>
      </c>
      <c r="E40" s="153">
        <v>47077</v>
      </c>
      <c r="G40" s="181">
        <v>0</v>
      </c>
    </row>
    <row r="41" spans="2:7" ht="30" hidden="1">
      <c r="B41" s="164" t="s">
        <v>125</v>
      </c>
      <c r="C41" s="147" t="s">
        <v>107</v>
      </c>
      <c r="D41" s="152"/>
      <c r="E41" s="152"/>
      <c r="G41" s="181">
        <v>0</v>
      </c>
    </row>
    <row r="42" spans="2:5" ht="15" hidden="1">
      <c r="B42" s="162" t="e">
        <f>IF(_XLL.EVPRO(#REF!,#REF!,"U_EVDESCRIPTION")="#NODATA","",_XLL.EVPRO(#REF!,#REF!,"U_EVDESCRIPTION"))</f>
        <v>#NAME?</v>
      </c>
      <c r="C42" s="148" t="e">
        <f>IF(_XLL.EVPRO("LEGAL",#REF!,"FORM")="Ф2","",IF(_XLL.EVPRO("LEGAL",#REF!,"FORM")="#NODATA","",_XLL.EVPRO("LEGAL",#REF!,"FORM")))</f>
        <v>#NAME?</v>
      </c>
      <c r="D42" s="154"/>
      <c r="E42" s="154"/>
    </row>
    <row r="43" spans="2:5" ht="30" hidden="1">
      <c r="B43" s="165" t="s">
        <v>136</v>
      </c>
      <c r="C43" s="148"/>
      <c r="D43" s="154"/>
      <c r="E43" s="154"/>
    </row>
    <row r="44" spans="2:5" ht="30" hidden="1">
      <c r="B44" s="165" t="s">
        <v>137</v>
      </c>
      <c r="C44" s="148"/>
      <c r="D44" s="154"/>
      <c r="E44" s="154"/>
    </row>
    <row r="45" spans="2:5" ht="15" hidden="1">
      <c r="B45" s="165" t="s">
        <v>138</v>
      </c>
      <c r="C45" s="148"/>
      <c r="D45" s="154"/>
      <c r="E45" s="154"/>
    </row>
    <row r="46" spans="2:5" ht="30" hidden="1">
      <c r="B46" s="165" t="s">
        <v>139</v>
      </c>
      <c r="C46" s="148"/>
      <c r="D46" s="154"/>
      <c r="E46" s="154"/>
    </row>
    <row r="47" spans="2:5" ht="30" hidden="1">
      <c r="B47" s="165" t="s">
        <v>140</v>
      </c>
      <c r="C47" s="148"/>
      <c r="D47" s="154"/>
      <c r="E47" s="154"/>
    </row>
    <row r="48" spans="2:5" ht="45" hidden="1">
      <c r="B48" s="165" t="s">
        <v>141</v>
      </c>
      <c r="C48" s="148"/>
      <c r="D48" s="154"/>
      <c r="E48" s="154"/>
    </row>
    <row r="49" spans="2:5" ht="60" hidden="1">
      <c r="B49" s="165" t="s">
        <v>142</v>
      </c>
      <c r="C49" s="148"/>
      <c r="D49" s="154"/>
      <c r="E49" s="154"/>
    </row>
    <row r="50" spans="2:5" ht="45" hidden="1">
      <c r="B50" s="165" t="s">
        <v>143</v>
      </c>
      <c r="C50" s="148"/>
      <c r="D50" s="154"/>
      <c r="E50" s="154"/>
    </row>
    <row r="51" spans="2:5" ht="30" hidden="1">
      <c r="B51" s="165" t="s">
        <v>144</v>
      </c>
      <c r="C51" s="148"/>
      <c r="D51" s="154"/>
      <c r="E51" s="154"/>
    </row>
    <row r="52" spans="2:5" ht="45" hidden="1">
      <c r="B52" s="166" t="s">
        <v>126</v>
      </c>
      <c r="C52" s="147" t="s">
        <v>127</v>
      </c>
      <c r="D52" s="152"/>
      <c r="E52" s="152"/>
    </row>
    <row r="53" spans="2:5" ht="15" hidden="1">
      <c r="B53" s="162" t="e">
        <f>IF(_XLL.EVPRO(#REF!,#REF!,"U_EVDESCRIPTION")="#NODATA","",_XLL.EVPRO(#REF!,#REF!,"U_EVDESCRIPTION"))</f>
        <v>#NAME?</v>
      </c>
      <c r="C53" s="148" t="e">
        <f>IF(_XLL.EVPRO("LEGAL",#REF!,"FORM")="Ф2","",IF(_XLL.EVPRO("LEGAL",#REF!,"FORM")="#NODATA","",_XLL.EVPRO("LEGAL",#REF!,"FORM")))</f>
        <v>#NAME?</v>
      </c>
      <c r="D53" s="154"/>
      <c r="E53" s="154"/>
    </row>
    <row r="54" spans="2:5" ht="30" hidden="1">
      <c r="B54" s="166" t="s">
        <v>128</v>
      </c>
      <c r="C54" s="147" t="s">
        <v>127</v>
      </c>
      <c r="D54" s="152"/>
      <c r="E54" s="152"/>
    </row>
    <row r="55" spans="2:5" ht="15" hidden="1">
      <c r="B55" s="162" t="e">
        <f>IF(_XLL.EVPRO(#REF!,#REF!,"U_EVDESCRIPTION")="#NODATA","",_XLL.EVPRO(#REF!,#REF!,"U_EVDESCRIPTION"))</f>
        <v>#NAME?</v>
      </c>
      <c r="C55" s="148" t="e">
        <f>IF(_XLL.EVPRO("LEGAL",#REF!,"FORM")="Ф2","",IF(_XLL.EVPRO("LEGAL",#REF!,"FORM")="#NODATA","",_XLL.EVPRO("LEGAL",#REF!,"FORM")))</f>
        <v>#NAME?</v>
      </c>
      <c r="D55" s="154"/>
      <c r="E55" s="154"/>
    </row>
    <row r="56" spans="2:5" ht="30" hidden="1">
      <c r="B56" s="164" t="s">
        <v>129</v>
      </c>
      <c r="C56" s="147" t="s">
        <v>107</v>
      </c>
      <c r="D56" s="152"/>
      <c r="E56" s="152"/>
    </row>
    <row r="57" spans="2:5" ht="15" hidden="1">
      <c r="B57" s="162" t="e">
        <f>IF(_XLL.EVPRO(#REF!,#REF!,"U_EVDESCRIPTION")="#NODATA","",_XLL.EVPRO(#REF!,#REF!,"U_EVDESCRIPTION"))</f>
        <v>#NAME?</v>
      </c>
      <c r="C57" s="148" t="e">
        <f>IF(_XLL.EVPRO("LEGAL",#REF!,"FORM")="Ф2","",IF(_XLL.EVPRO("LEGAL",#REF!,"FORM")="#NODATA","",_XLL.EVPRO("LEGAL",#REF!,"FORM")))</f>
        <v>#NAME?</v>
      </c>
      <c r="D57" s="154"/>
      <c r="E57" s="154"/>
    </row>
    <row r="58" spans="2:5" ht="30" hidden="1">
      <c r="B58" s="165" t="s">
        <v>136</v>
      </c>
      <c r="C58" s="148"/>
      <c r="D58" s="154"/>
      <c r="E58" s="154"/>
    </row>
    <row r="59" spans="2:5" ht="30" hidden="1">
      <c r="B59" s="165" t="s">
        <v>137</v>
      </c>
      <c r="C59" s="148"/>
      <c r="D59" s="154"/>
      <c r="E59" s="154"/>
    </row>
    <row r="60" spans="2:5" ht="15" hidden="1">
      <c r="B60" s="165" t="s">
        <v>138</v>
      </c>
      <c r="C60" s="148"/>
      <c r="D60" s="154"/>
      <c r="E60" s="154"/>
    </row>
    <row r="61" spans="2:5" ht="30" hidden="1">
      <c r="B61" s="165" t="s">
        <v>139</v>
      </c>
      <c r="C61" s="148"/>
      <c r="D61" s="154"/>
      <c r="E61" s="154"/>
    </row>
    <row r="62" spans="2:5" ht="30" hidden="1">
      <c r="B62" s="165" t="s">
        <v>140</v>
      </c>
      <c r="C62" s="148"/>
      <c r="D62" s="154"/>
      <c r="E62" s="154"/>
    </row>
    <row r="63" spans="2:5" ht="45" hidden="1">
      <c r="B63" s="165" t="s">
        <v>141</v>
      </c>
      <c r="C63" s="148"/>
      <c r="D63" s="154"/>
      <c r="E63" s="154"/>
    </row>
    <row r="64" spans="2:5" ht="60" hidden="1">
      <c r="B64" s="165" t="s">
        <v>142</v>
      </c>
      <c r="C64" s="148"/>
      <c r="D64" s="154"/>
      <c r="E64" s="154"/>
    </row>
    <row r="65" spans="2:5" ht="45" hidden="1">
      <c r="B65" s="165" t="s">
        <v>143</v>
      </c>
      <c r="C65" s="148"/>
      <c r="D65" s="154"/>
      <c r="E65" s="154"/>
    </row>
    <row r="66" spans="2:5" ht="30" hidden="1">
      <c r="B66" s="165" t="s">
        <v>144</v>
      </c>
      <c r="C66" s="148"/>
      <c r="D66" s="154"/>
      <c r="E66" s="154"/>
    </row>
    <row r="67" spans="2:5" ht="45" hidden="1">
      <c r="B67" s="166" t="s">
        <v>130</v>
      </c>
      <c r="C67" s="147" t="s">
        <v>127</v>
      </c>
      <c r="D67" s="152"/>
      <c r="E67" s="152"/>
    </row>
    <row r="68" spans="2:5" ht="15" hidden="1">
      <c r="B68" s="162" t="e">
        <f>IF(_XLL.EVPRO(#REF!,#REF!,"U_EVDESCRIPTION")="#NODATA","",_XLL.EVPRO(#REF!,#REF!,"U_EVDESCRIPTION"))</f>
        <v>#NAME?</v>
      </c>
      <c r="C68" s="148" t="e">
        <f>IF(_XLL.EVPRO("LEGAL",#REF!,"FORM")="Ф2","",IF(_XLL.EVPRO("LEGAL",#REF!,"FORM")="#NODATA","",_XLL.EVPRO("LEGAL",#REF!,"FORM")))</f>
        <v>#NAME?</v>
      </c>
      <c r="D68" s="154"/>
      <c r="E68" s="154"/>
    </row>
    <row r="69" spans="2:5" ht="30" hidden="1">
      <c r="B69" s="166" t="s">
        <v>131</v>
      </c>
      <c r="C69" s="147" t="s">
        <v>127</v>
      </c>
      <c r="D69" s="152"/>
      <c r="E69" s="152"/>
    </row>
    <row r="70" spans="2:5" ht="15" hidden="1">
      <c r="B70" s="162" t="e">
        <f>IF(_XLL.EVPRO(#REF!,#REF!,"U_EVDESCRIPTION")="#NODATA","",_XLL.EVPRO(#REF!,#REF!,"U_EVDESCRIPTION"))</f>
        <v>#NAME?</v>
      </c>
      <c r="C70" s="148" t="e">
        <f>IF(_XLL.EVPRO("LEGAL",#REF!,"FORM")="Ф2","",IF(_XLL.EVPRO("LEGAL",#REF!,"FORM")="#NODATA","",_XLL.EVPRO("LEGAL",#REF!,"FORM")))</f>
        <v>#NAME?</v>
      </c>
      <c r="D70" s="154"/>
      <c r="E70" s="154"/>
    </row>
    <row r="71" spans="2:5" ht="15">
      <c r="B71" s="167" t="s">
        <v>104</v>
      </c>
      <c r="C71" s="147" t="s">
        <v>107</v>
      </c>
      <c r="D71" s="152">
        <f>D33</f>
        <v>-1408058</v>
      </c>
      <c r="E71" s="152">
        <f>E33</f>
        <v>-1851914</v>
      </c>
    </row>
    <row r="72" spans="2:5" ht="30">
      <c r="B72" s="167" t="s">
        <v>132</v>
      </c>
      <c r="C72" s="147" t="s">
        <v>107</v>
      </c>
      <c r="D72" s="152">
        <f>D39</f>
        <v>-1465047</v>
      </c>
      <c r="E72" s="152">
        <f>E39</f>
        <v>-1898991</v>
      </c>
    </row>
    <row r="73" spans="2:5" ht="29.25" customHeight="1">
      <c r="B73" s="167" t="s">
        <v>133</v>
      </c>
      <c r="C73" s="147" t="s">
        <v>107</v>
      </c>
      <c r="D73" s="152">
        <f>D40</f>
        <v>56989</v>
      </c>
      <c r="E73" s="152">
        <f>E40</f>
        <v>47077</v>
      </c>
    </row>
    <row r="74" spans="2:5" ht="15" customHeight="1">
      <c r="B74" s="167" t="s">
        <v>411</v>
      </c>
      <c r="C74" s="147"/>
      <c r="D74" s="152"/>
      <c r="E74" s="152"/>
    </row>
    <row r="75" spans="2:5" ht="15" customHeight="1">
      <c r="B75" s="167" t="s">
        <v>412</v>
      </c>
      <c r="C75" s="147"/>
      <c r="D75" s="152"/>
      <c r="E75" s="152"/>
    </row>
    <row r="76" spans="2:5" ht="15" customHeight="1">
      <c r="B76" s="167" t="s">
        <v>413</v>
      </c>
      <c r="C76" s="147"/>
      <c r="D76" s="157">
        <f>D72/21476802</f>
        <v>-0.06821532367807832</v>
      </c>
      <c r="E76" s="157">
        <f>E72/21476802</f>
        <v>-0.08842056652568664</v>
      </c>
    </row>
    <row r="77" spans="2:5" ht="15" customHeight="1">
      <c r="B77" s="167" t="s">
        <v>414</v>
      </c>
      <c r="C77" s="147"/>
      <c r="D77" s="158"/>
      <c r="E77" s="158"/>
    </row>
    <row r="78" spans="2:5" ht="15" customHeight="1">
      <c r="B78" s="167" t="s">
        <v>415</v>
      </c>
      <c r="C78" s="147"/>
      <c r="D78" s="158"/>
      <c r="E78" s="158"/>
    </row>
    <row r="79" spans="2:5" ht="15" customHeight="1">
      <c r="B79" s="168" t="s">
        <v>413</v>
      </c>
      <c r="C79" s="156"/>
      <c r="D79" s="157">
        <f>D76</f>
        <v>-0.06821532367807832</v>
      </c>
      <c r="E79" s="157">
        <f>E76</f>
        <v>-0.08842056652568664</v>
      </c>
    </row>
    <row r="80" spans="2:5" ht="15" customHeight="1" thickBot="1">
      <c r="B80" s="169" t="s">
        <v>414</v>
      </c>
      <c r="C80" s="170"/>
      <c r="D80" s="171"/>
      <c r="E80" s="171"/>
    </row>
    <row r="81" spans="2:4" ht="23.25" customHeight="1">
      <c r="B81" s="150" t="s">
        <v>409</v>
      </c>
      <c r="C81" s="151"/>
      <c r="D81" s="124"/>
    </row>
    <row r="82" spans="2:4" ht="26.25" customHeight="1">
      <c r="B82" s="150" t="s">
        <v>484</v>
      </c>
      <c r="C82" s="151"/>
      <c r="D82" s="124"/>
    </row>
    <row r="83" spans="2:4" ht="48" customHeight="1">
      <c r="B83" s="150" t="s">
        <v>404</v>
      </c>
      <c r="C83" s="151"/>
      <c r="D83" s="124"/>
    </row>
    <row r="84" ht="15">
      <c r="B84" s="150"/>
    </row>
    <row r="85" ht="15">
      <c r="B85" s="86" t="s">
        <v>419</v>
      </c>
    </row>
  </sheetData>
  <sheetProtection/>
  <printOptions/>
  <pageMargins left="0.7" right="0.7" top="0.75" bottom="0.75" header="0.3" footer="0.3"/>
  <pageSetup horizontalDpi="1200" verticalDpi="1200" orientation="portrait" paperSize="9" scale="75" r:id="rId1"/>
  <colBreaks count="1" manualBreakCount="1">
    <brk id="5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CX174"/>
  <sheetViews>
    <sheetView view="pageBreakPreview" zoomScale="80" zoomScaleNormal="80" zoomScaleSheetLayoutView="80" zoomScalePageLayoutView="0" workbookViewId="0" topLeftCell="B120">
      <selection activeCell="B156" sqref="B156"/>
    </sheetView>
  </sheetViews>
  <sheetFormatPr defaultColWidth="21.7109375" defaultRowHeight="15"/>
  <cols>
    <col min="1" max="1" width="7.8515625" style="4" customWidth="1"/>
    <col min="2" max="2" width="86.57421875" style="4" customWidth="1"/>
    <col min="3" max="5" width="21.7109375" style="4" customWidth="1"/>
    <col min="6" max="7" width="21.7109375" style="4" hidden="1" customWidth="1"/>
    <col min="8" max="8" width="75.421875" style="4" customWidth="1"/>
    <col min="9" max="10" width="21.7109375" style="4" hidden="1" customWidth="1"/>
    <col min="11" max="16384" width="21.7109375" style="4" customWidth="1"/>
  </cols>
  <sheetData>
    <row r="1" ht="15"/>
    <row r="2" spans="2:4" ht="15">
      <c r="B2" s="3" t="s">
        <v>395</v>
      </c>
      <c r="D2" s="6"/>
    </row>
    <row r="3" ht="15">
      <c r="B3" s="9" t="s">
        <v>430</v>
      </c>
    </row>
    <row r="4" ht="15">
      <c r="B4" s="34"/>
    </row>
    <row r="5" spans="2:102" ht="15">
      <c r="B5" s="9"/>
      <c r="D5" s="96" t="s">
        <v>396</v>
      </c>
      <c r="F5" s="10"/>
      <c r="L5" s="10"/>
      <c r="N5" s="10"/>
      <c r="P5" s="10"/>
      <c r="R5" s="10"/>
      <c r="CD5" s="10"/>
      <c r="CF5" s="10"/>
      <c r="CX5" s="10"/>
    </row>
    <row r="6" spans="2:10" ht="15" customHeight="1" hidden="1">
      <c r="B6"/>
      <c r="C6" s="32" t="s">
        <v>145</v>
      </c>
      <c r="D6" s="32" t="s">
        <v>145</v>
      </c>
      <c r="F6" s="32"/>
      <c r="G6" s="32"/>
      <c r="I6" s="32"/>
      <c r="J6" s="32"/>
    </row>
    <row r="7" spans="2:10" ht="15" customHeight="1" hidden="1">
      <c r="B7"/>
      <c r="C7" s="32" t="s">
        <v>94</v>
      </c>
      <c r="D7" s="32" t="s">
        <v>94</v>
      </c>
      <c r="F7" s="32"/>
      <c r="G7" s="32"/>
      <c r="I7" s="32"/>
      <c r="J7" s="32"/>
    </row>
    <row r="8" spans="2:10" ht="15" hidden="1">
      <c r="B8"/>
      <c r="C8" s="32" t="s">
        <v>93</v>
      </c>
      <c r="D8" s="32" t="s">
        <v>95</v>
      </c>
      <c r="F8" s="32"/>
      <c r="G8" s="32"/>
      <c r="I8" s="32"/>
      <c r="J8" s="32"/>
    </row>
    <row r="9" spans="2:10" ht="40.5" customHeight="1">
      <c r="B9" s="104"/>
      <c r="C9" s="100" t="s">
        <v>96</v>
      </c>
      <c r="D9" s="100" t="s">
        <v>97</v>
      </c>
      <c r="F9" s="29"/>
      <c r="G9" s="29"/>
      <c r="I9" s="29"/>
      <c r="J9" s="29"/>
    </row>
    <row r="10" spans="2:11" ht="15.75">
      <c r="B10" s="36" t="s">
        <v>146</v>
      </c>
      <c r="C10" s="106"/>
      <c r="D10" s="106"/>
      <c r="F10" s="16">
        <v>0</v>
      </c>
      <c r="G10" s="16">
        <v>0</v>
      </c>
      <c r="H10" s="184" t="s">
        <v>148</v>
      </c>
      <c r="I10" s="16">
        <v>0</v>
      </c>
      <c r="J10" s="16">
        <v>0</v>
      </c>
      <c r="K10" s="194">
        <v>2335107</v>
      </c>
    </row>
    <row r="11" spans="2:11" ht="15.75">
      <c r="B11" s="15" t="s">
        <v>147</v>
      </c>
      <c r="C11" s="16">
        <f>C12+C73+C108+C148</f>
        <v>-13245930</v>
      </c>
      <c r="D11" s="106">
        <f>D12+D73+D108+D148</f>
        <v>-29877</v>
      </c>
      <c r="F11" s="16">
        <v>0</v>
      </c>
      <c r="G11" s="16">
        <v>0</v>
      </c>
      <c r="H11" s="184" t="s">
        <v>149</v>
      </c>
      <c r="I11" s="16">
        <v>0</v>
      </c>
      <c r="J11" s="16">
        <v>0</v>
      </c>
      <c r="K11" s="194">
        <v>51416158</v>
      </c>
    </row>
    <row r="12" spans="2:11" ht="15.75">
      <c r="B12" s="37" t="s">
        <v>148</v>
      </c>
      <c r="C12" s="16">
        <f>C13+C42</f>
        <v>2335107</v>
      </c>
      <c r="D12" s="106">
        <f>D13+D42</f>
        <v>297392</v>
      </c>
      <c r="E12" s="4" t="s">
        <v>416</v>
      </c>
      <c r="F12" s="16">
        <v>1</v>
      </c>
      <c r="G12" s="16">
        <v>0</v>
      </c>
      <c r="H12" s="185" t="s">
        <v>432</v>
      </c>
      <c r="I12" s="16">
        <v>0</v>
      </c>
      <c r="J12" s="16">
        <v>0</v>
      </c>
      <c r="K12" s="194">
        <v>0</v>
      </c>
    </row>
    <row r="13" spans="2:11" ht="15.75">
      <c r="B13" s="38" t="s">
        <v>149</v>
      </c>
      <c r="C13" s="16">
        <f>SUM(C14:C17,C18,C25:C41)</f>
        <v>51416158</v>
      </c>
      <c r="D13" s="106">
        <f>SUM(D14:D17,D18,D38:D41)</f>
        <v>25412684</v>
      </c>
      <c r="E13" s="4" t="s">
        <v>416</v>
      </c>
      <c r="F13" s="16">
        <v>1</v>
      </c>
      <c r="G13" s="16">
        <v>0</v>
      </c>
      <c r="H13" s="185" t="s">
        <v>150</v>
      </c>
      <c r="I13" s="16">
        <v>1</v>
      </c>
      <c r="J13" s="16">
        <v>0</v>
      </c>
      <c r="K13" s="194">
        <v>2444266</v>
      </c>
    </row>
    <row r="14" spans="2:11" ht="15.75">
      <c r="B14" s="97" t="s">
        <v>150</v>
      </c>
      <c r="C14" s="196">
        <v>2444266</v>
      </c>
      <c r="D14" s="196">
        <v>4619504</v>
      </c>
      <c r="F14" s="12" t="e">
        <f>IF(_XLL.EVPRO(#REF!,#REF!,"HLEVEL")="4",F13+1,F13)</f>
        <v>#NAME?</v>
      </c>
      <c r="G14" s="12" t="e">
        <f>IF(_XLL.EVPRO(#REF!,B14,"HLEVEL")="4",G13+1,G13)</f>
        <v>#NAME?</v>
      </c>
      <c r="H14" s="185" t="s">
        <v>176</v>
      </c>
      <c r="I14" s="12" t="e">
        <f>IF(_XLL.EVPRO(#REF!,#REF!,"HLEVEL")="5",IF(I13+1=3,1,I13+1),I13)</f>
        <v>#NAME?</v>
      </c>
      <c r="J14" s="12" t="e">
        <f>IF(_XLL.EVPRO(#REF!,B14,"HLEVEL")="5",IF(J13+1=3,1,J13+1),J13)</f>
        <v>#NAME?</v>
      </c>
      <c r="K14" s="194">
        <v>1187376</v>
      </c>
    </row>
    <row r="15" spans="2:11" ht="15.75">
      <c r="B15" s="97" t="s">
        <v>151</v>
      </c>
      <c r="C15" s="196">
        <v>33017</v>
      </c>
      <c r="D15" s="196">
        <v>56276</v>
      </c>
      <c r="F15" s="12" t="e">
        <f>IF(_XLL.EVPRO(#REF!,#REF!,"HLEVEL")="4",F14+1,F14)</f>
        <v>#NAME?</v>
      </c>
      <c r="G15" s="12" t="e">
        <f>IF(_XLL.EVPRO(#REF!,B15,"HLEVEL")="4",G14+1,G14)</f>
        <v>#NAME?</v>
      </c>
      <c r="H15" s="185" t="s">
        <v>151</v>
      </c>
      <c r="I15" s="12" t="e">
        <f>IF(_XLL.EVPRO(#REF!,#REF!,"HLEVEL")="5",IF(I14+1=3,1,I14+1),I14)</f>
        <v>#NAME?</v>
      </c>
      <c r="J15" s="12" t="e">
        <f>IF(_XLL.EVPRO(#REF!,B15,"HLEVEL")="5",IF(J14+1=3,1,J14+1),J14)</f>
        <v>#NAME?</v>
      </c>
      <c r="K15" s="194">
        <v>33017</v>
      </c>
    </row>
    <row r="16" spans="2:11" ht="15.75">
      <c r="B16" s="97" t="s">
        <v>152</v>
      </c>
      <c r="C16" s="196">
        <v>44021620</v>
      </c>
      <c r="D16" s="196">
        <v>17585371</v>
      </c>
      <c r="F16" s="12" t="e">
        <f>IF(_XLL.EVPRO(#REF!,#REF!,"HLEVEL")="4",F15+1,F15)</f>
        <v>#NAME?</v>
      </c>
      <c r="G16" s="12" t="e">
        <f>IF(_XLL.EVPRO(#REF!,B16,"HLEVEL")="4",G15+1,G15)</f>
        <v>#NAME?</v>
      </c>
      <c r="H16" s="185" t="s">
        <v>152</v>
      </c>
      <c r="I16" s="12" t="e">
        <f>IF(_XLL.EVPRO(#REF!,#REF!,"HLEVEL")="5",IF(I15+1=3,1,I15+1),I15)</f>
        <v>#NAME?</v>
      </c>
      <c r="J16" s="12" t="e">
        <f>IF(_XLL.EVPRO(#REF!,B16,"HLEVEL")="5",IF(J15+1=3,1,J15+1),J15)</f>
        <v>#NAME?</v>
      </c>
      <c r="K16" s="194">
        <v>44021620</v>
      </c>
    </row>
    <row r="17" spans="2:11" ht="15.75">
      <c r="B17" s="97" t="s">
        <v>153</v>
      </c>
      <c r="C17" s="196"/>
      <c r="D17" s="196"/>
      <c r="F17" s="12" t="e">
        <f>IF(_XLL.EVPRO(#REF!,#REF!,"HLEVEL")="4",F16+1,F16)</f>
        <v>#NAME?</v>
      </c>
      <c r="G17" s="12" t="e">
        <f>IF(_XLL.EVPRO(#REF!,B17,"HLEVEL")="4",G16+1,G16)</f>
        <v>#NAME?</v>
      </c>
      <c r="H17" s="185" t="s">
        <v>153</v>
      </c>
      <c r="I17" s="12" t="e">
        <f>IF(_XLL.EVPRO(#REF!,#REF!,"HLEVEL")="5",IF(I16+1=3,1,I16+1),I16)</f>
        <v>#NAME?</v>
      </c>
      <c r="J17" s="12" t="e">
        <f>IF(_XLL.EVPRO(#REF!,B17,"HLEVEL")="5",IF(J16+1=3,1,J16+1),J16)</f>
        <v>#NAME?</v>
      </c>
      <c r="K17" s="194">
        <v>0</v>
      </c>
    </row>
    <row r="18" spans="2:11" ht="15.75">
      <c r="B18" s="39" t="s">
        <v>154</v>
      </c>
      <c r="C18" s="16">
        <f>SUM(C19:C23)</f>
        <v>280663</v>
      </c>
      <c r="D18" s="106">
        <f>SUM(D21:D22)</f>
        <v>104701</v>
      </c>
      <c r="E18" s="4" t="s">
        <v>416</v>
      </c>
      <c r="F18" s="16">
        <v>1</v>
      </c>
      <c r="G18" s="16">
        <v>0</v>
      </c>
      <c r="H18" s="185" t="s">
        <v>154</v>
      </c>
      <c r="I18" s="16">
        <v>1</v>
      </c>
      <c r="J18" s="16">
        <v>0</v>
      </c>
      <c r="K18" s="195">
        <v>280663</v>
      </c>
    </row>
    <row r="19" spans="2:11" ht="30">
      <c r="B19" s="98" t="s">
        <v>155</v>
      </c>
      <c r="C19" s="196"/>
      <c r="D19" s="196"/>
      <c r="F19" s="12" t="e">
        <f>IF(_XLL.EVPRO(#REF!,#REF!,"HLEVEL")="4",F18+1,F18)</f>
        <v>#NAME?</v>
      </c>
      <c r="G19" s="12" t="e">
        <f>IF(_XLL.EVPRO(#REF!,B19,"HLEVEL")="4",G18+1,G18)</f>
        <v>#NAME?</v>
      </c>
      <c r="H19" s="186" t="s">
        <v>433</v>
      </c>
      <c r="I19" s="12" t="e">
        <f>IF(_XLL.EVPRO(#REF!,#REF!,"HLEVEL")="5",IF(I18+1=3,1,I18+1),I18)</f>
        <v>#NAME?</v>
      </c>
      <c r="J19" s="12" t="e">
        <f>IF(_XLL.EVPRO(#REF!,B19,"HLEVEL")="5",IF(J18+1=3,1,J18+1),J18)</f>
        <v>#NAME?</v>
      </c>
      <c r="K19" s="194">
        <v>0</v>
      </c>
    </row>
    <row r="20" spans="2:11" ht="30">
      <c r="B20" s="98" t="s">
        <v>156</v>
      </c>
      <c r="C20" s="196"/>
      <c r="D20" s="196"/>
      <c r="F20" s="12" t="e">
        <f>IF(_XLL.EVPRO(#REF!,#REF!,"HLEVEL")="4",F19+1,F19)</f>
        <v>#NAME?</v>
      </c>
      <c r="G20" s="12" t="e">
        <f>IF(_XLL.EVPRO(#REF!,B20,"HLEVEL")="4",G19+1,G19)</f>
        <v>#NAME?</v>
      </c>
      <c r="H20" s="186" t="s">
        <v>156</v>
      </c>
      <c r="I20" s="12" t="e">
        <f>IF(_XLL.EVPRO(#REF!,#REF!,"HLEVEL")="5",IF(I19+1=3,1,I19+1),I19)</f>
        <v>#NAME?</v>
      </c>
      <c r="J20" s="12" t="e">
        <f>IF(_XLL.EVPRO(#REF!,B20,"HLEVEL")="5",IF(J19+1=3,1,J19+1),J19)</f>
        <v>#NAME?</v>
      </c>
      <c r="K20" s="194">
        <v>0</v>
      </c>
    </row>
    <row r="21" spans="2:11" ht="30">
      <c r="B21" s="98" t="s">
        <v>157</v>
      </c>
      <c r="C21" s="196">
        <v>55783</v>
      </c>
      <c r="D21" s="196">
        <v>72285</v>
      </c>
      <c r="F21" s="12" t="e">
        <f>IF(_XLL.EVPRO(#REF!,#REF!,"HLEVEL")="4",F20+1,F20)</f>
        <v>#NAME?</v>
      </c>
      <c r="G21" s="12" t="e">
        <f>IF(_XLL.EVPRO(#REF!,B21,"HLEVEL")="4",G20+1,G20)</f>
        <v>#NAME?</v>
      </c>
      <c r="H21" s="186" t="s">
        <v>157</v>
      </c>
      <c r="I21" s="12" t="e">
        <f>IF(_XLL.EVPRO(#REF!,#REF!,"HLEVEL")="5",IF(I20+1=3,1,I20+1),I20)</f>
        <v>#NAME?</v>
      </c>
      <c r="J21" s="12" t="e">
        <f>IF(_XLL.EVPRO(#REF!,B21,"HLEVEL")="5",IF(J20+1=3,1,J20+1),J20)</f>
        <v>#NAME?</v>
      </c>
      <c r="K21" s="194">
        <v>55783</v>
      </c>
    </row>
    <row r="22" spans="2:11" ht="15.75">
      <c r="B22" s="98" t="s">
        <v>158</v>
      </c>
      <c r="C22" s="196">
        <v>224880</v>
      </c>
      <c r="D22" s="196">
        <v>32416</v>
      </c>
      <c r="F22" s="12" t="e">
        <f>IF(_XLL.EVPRO(#REF!,#REF!,"HLEVEL")="4",F21+1,F21)</f>
        <v>#NAME?</v>
      </c>
      <c r="G22" s="12" t="e">
        <f>IF(_XLL.EVPRO(#REF!,B22,"HLEVEL")="4",G21+1,G21)</f>
        <v>#NAME?</v>
      </c>
      <c r="H22" s="186" t="s">
        <v>158</v>
      </c>
      <c r="I22" s="12" t="e">
        <f>IF(_XLL.EVPRO(#REF!,#REF!,"HLEVEL")="5",IF(I21+1=3,1,I21+1),I21)</f>
        <v>#NAME?</v>
      </c>
      <c r="J22" s="12" t="e">
        <f>IF(_XLL.EVPRO(#REF!,B22,"HLEVEL")="5",IF(J21+1=3,1,J21+1),J21)</f>
        <v>#NAME?</v>
      </c>
      <c r="K22" s="194">
        <v>224880</v>
      </c>
    </row>
    <row r="23" spans="2:11" ht="30">
      <c r="B23" s="98" t="s">
        <v>159</v>
      </c>
      <c r="C23" s="196"/>
      <c r="D23" s="196"/>
      <c r="F23" s="12" t="e">
        <f>IF(_XLL.EVPRO(#REF!,#REF!,"HLEVEL")="4",F22+1,F22)</f>
        <v>#NAME?</v>
      </c>
      <c r="G23" s="12" t="e">
        <f>IF(_XLL.EVPRO(#REF!,B23,"HLEVEL")="4",G22+1,G22)</f>
        <v>#NAME?</v>
      </c>
      <c r="H23" s="186" t="s">
        <v>159</v>
      </c>
      <c r="I23" s="12" t="e">
        <f>IF(_XLL.EVPRO(#REF!,#REF!,"HLEVEL")="5",IF(I22+1=3,1,I22+1),I22)</f>
        <v>#NAME?</v>
      </c>
      <c r="J23" s="12" t="e">
        <f>IF(_XLL.EVPRO(#REF!,B23,"HLEVEL")="5",IF(J22+1=3,1,J22+1),J22)</f>
        <v>#NAME?</v>
      </c>
      <c r="K23" s="194">
        <v>0</v>
      </c>
    </row>
    <row r="24" spans="2:11" ht="30">
      <c r="B24" s="39" t="s">
        <v>160</v>
      </c>
      <c r="C24" s="16"/>
      <c r="D24" s="16"/>
      <c r="F24" s="16">
        <v>1</v>
      </c>
      <c r="G24" s="16">
        <v>0</v>
      </c>
      <c r="H24" s="185" t="s">
        <v>160</v>
      </c>
      <c r="I24" s="16">
        <v>1</v>
      </c>
      <c r="J24" s="16">
        <v>0</v>
      </c>
      <c r="K24" s="194">
        <v>0</v>
      </c>
    </row>
    <row r="25" spans="2:11" ht="15.75">
      <c r="B25" s="98" t="s">
        <v>161</v>
      </c>
      <c r="C25" s="196"/>
      <c r="D25" s="196"/>
      <c r="F25" s="12" t="e">
        <f>IF(_XLL.EVPRO(#REF!,#REF!,"HLEVEL")="4",F24+1,F24)</f>
        <v>#NAME?</v>
      </c>
      <c r="G25" s="12" t="e">
        <f>IF(_XLL.EVPRO(#REF!,B25,"HLEVEL")="4",G24+1,G24)</f>
        <v>#NAME?</v>
      </c>
      <c r="H25" s="186" t="s">
        <v>161</v>
      </c>
      <c r="I25" s="12" t="e">
        <f>IF(_XLL.EVPRO(#REF!,#REF!,"HLEVEL")="5",IF(I24+1=3,1,I24+1),I24)</f>
        <v>#NAME?</v>
      </c>
      <c r="J25" s="12" t="e">
        <f>IF(_XLL.EVPRO(#REF!,B25,"HLEVEL")="5",IF(J24+1=3,1,J24+1),J24)</f>
        <v>#NAME?</v>
      </c>
      <c r="K25" s="194">
        <v>0</v>
      </c>
    </row>
    <row r="26" spans="2:11" ht="15.75">
      <c r="B26" s="98" t="s">
        <v>162</v>
      </c>
      <c r="C26" s="196"/>
      <c r="D26" s="196"/>
      <c r="F26" s="12" t="e">
        <f>IF(_XLL.EVPRO(#REF!,#REF!,"HLEVEL")="4",F25+1,F25)</f>
        <v>#NAME?</v>
      </c>
      <c r="G26" s="12" t="e">
        <f>IF(_XLL.EVPRO(#REF!,B26,"HLEVEL")="4",G25+1,G25)</f>
        <v>#NAME?</v>
      </c>
      <c r="H26" s="186" t="s">
        <v>162</v>
      </c>
      <c r="I26" s="12" t="e">
        <f>IF(_XLL.EVPRO(#REF!,#REF!,"HLEVEL")="5",IF(I25+1=3,1,I25+1),I25)</f>
        <v>#NAME?</v>
      </c>
      <c r="J26" s="12" t="e">
        <f>IF(_XLL.EVPRO(#REF!,B26,"HLEVEL")="5",IF(J25+1=3,1,J25+1),J25)</f>
        <v>#NAME?</v>
      </c>
      <c r="K26" s="194">
        <v>0</v>
      </c>
    </row>
    <row r="27" spans="2:11" ht="15.75">
      <c r="B27" s="98" t="s">
        <v>163</v>
      </c>
      <c r="C27" s="196"/>
      <c r="D27" s="196"/>
      <c r="F27" s="12" t="e">
        <f>IF(_XLL.EVPRO(#REF!,#REF!,"HLEVEL")="4",F26+1,F26)</f>
        <v>#NAME?</v>
      </c>
      <c r="G27" s="12" t="e">
        <f>IF(_XLL.EVPRO(#REF!,B27,"HLEVEL")="4",G26+1,G26)</f>
        <v>#NAME?</v>
      </c>
      <c r="H27" s="186" t="s">
        <v>163</v>
      </c>
      <c r="I27" s="12" t="e">
        <f>IF(_XLL.EVPRO(#REF!,#REF!,"HLEVEL")="5",IF(I26+1=3,1,I26+1),I26)</f>
        <v>#NAME?</v>
      </c>
      <c r="J27" s="12" t="e">
        <f>IF(_XLL.EVPRO(#REF!,B27,"HLEVEL")="5",IF(J26+1=3,1,J26+1),J26)</f>
        <v>#NAME?</v>
      </c>
      <c r="K27" s="194">
        <v>0</v>
      </c>
    </row>
    <row r="28" spans="2:11" ht="15.75">
      <c r="B28" s="98" t="s">
        <v>164</v>
      </c>
      <c r="C28" s="196"/>
      <c r="D28" s="196"/>
      <c r="F28" s="12" t="e">
        <f>IF(_XLL.EVPRO(#REF!,#REF!,"HLEVEL")="4",F27+1,F27)</f>
        <v>#NAME?</v>
      </c>
      <c r="G28" s="12" t="e">
        <f>IF(_XLL.EVPRO(#REF!,B28,"HLEVEL")="4",G27+1,G27)</f>
        <v>#NAME?</v>
      </c>
      <c r="H28" s="186" t="s">
        <v>164</v>
      </c>
      <c r="I28" s="12" t="e">
        <f>IF(_XLL.EVPRO(#REF!,#REF!,"HLEVEL")="5",IF(I27+1=3,1,I27+1),I27)</f>
        <v>#NAME?</v>
      </c>
      <c r="J28" s="12" t="e">
        <f>IF(_XLL.EVPRO(#REF!,B28,"HLEVEL")="5",IF(J27+1=3,1,J27+1),J27)</f>
        <v>#NAME?</v>
      </c>
      <c r="K28" s="194">
        <v>0</v>
      </c>
    </row>
    <row r="29" spans="2:11" ht="15.75">
      <c r="B29" s="98" t="s">
        <v>165</v>
      </c>
      <c r="C29" s="196"/>
      <c r="D29" s="196"/>
      <c r="F29" s="12" t="e">
        <f>IF(_XLL.EVPRO(#REF!,#REF!,"HLEVEL")="4",F28+1,F28)</f>
        <v>#NAME?</v>
      </c>
      <c r="G29" s="12" t="e">
        <f>IF(_XLL.EVPRO(#REF!,B29,"HLEVEL")="4",G28+1,G28)</f>
        <v>#NAME?</v>
      </c>
      <c r="H29" s="186" t="s">
        <v>434</v>
      </c>
      <c r="I29" s="12" t="e">
        <f>IF(_XLL.EVPRO(#REF!,#REF!,"HLEVEL")="5",IF(I28+1=3,1,I28+1),I28)</f>
        <v>#NAME?</v>
      </c>
      <c r="J29" s="12" t="e">
        <f>IF(_XLL.EVPRO(#REF!,B29,"HLEVEL")="5",IF(J28+1=3,1,J28+1),J28)</f>
        <v>#NAME?</v>
      </c>
      <c r="K29" s="194">
        <v>0</v>
      </c>
    </row>
    <row r="30" spans="2:11" ht="15.75">
      <c r="B30" s="98" t="s">
        <v>166</v>
      </c>
      <c r="C30" s="196"/>
      <c r="D30" s="196"/>
      <c r="F30" s="12" t="e">
        <f>IF(_XLL.EVPRO(#REF!,#REF!,"HLEVEL")="4",F29+1,F29)</f>
        <v>#NAME?</v>
      </c>
      <c r="G30" s="12" t="e">
        <f>IF(_XLL.EVPRO(#REF!,B30,"HLEVEL")="4",G29+1,G29)</f>
        <v>#NAME?</v>
      </c>
      <c r="H30" s="186" t="s">
        <v>166</v>
      </c>
      <c r="I30" s="12" t="e">
        <f>IF(_XLL.EVPRO(#REF!,#REF!,"HLEVEL")="5",IF(I29+1=3,1,I29+1),I29)</f>
        <v>#NAME?</v>
      </c>
      <c r="J30" s="12" t="e">
        <f>IF(_XLL.EVPRO(#REF!,B30,"HLEVEL")="5",IF(J29+1=3,1,J29+1),J29)</f>
        <v>#NAME?</v>
      </c>
      <c r="K30" s="194">
        <v>0</v>
      </c>
    </row>
    <row r="31" spans="2:11" ht="15.75">
      <c r="B31" s="98" t="s">
        <v>167</v>
      </c>
      <c r="C31" s="196"/>
      <c r="D31" s="196"/>
      <c r="F31" s="12" t="e">
        <f>IF(_XLL.EVPRO(#REF!,#REF!,"HLEVEL")="4",F30+1,F30)</f>
        <v>#NAME?</v>
      </c>
      <c r="G31" s="12" t="e">
        <f>IF(_XLL.EVPRO(#REF!,B31,"HLEVEL")="4",G30+1,G30)</f>
        <v>#NAME?</v>
      </c>
      <c r="H31" s="186" t="s">
        <v>435</v>
      </c>
      <c r="I31" s="12" t="e">
        <f>IF(_XLL.EVPRO(#REF!,#REF!,"HLEVEL")="5",IF(I30+1=3,1,I30+1),I30)</f>
        <v>#NAME?</v>
      </c>
      <c r="J31" s="12" t="e">
        <f>IF(_XLL.EVPRO(#REF!,B31,"HLEVEL")="5",IF(J30+1=3,1,J30+1),J30)</f>
        <v>#NAME?</v>
      </c>
      <c r="K31" s="194">
        <v>0</v>
      </c>
    </row>
    <row r="32" spans="2:11" ht="15.75">
      <c r="B32" s="98" t="s">
        <v>168</v>
      </c>
      <c r="C32" s="196"/>
      <c r="D32" s="196"/>
      <c r="F32" s="12" t="e">
        <f>IF(_XLL.EVPRO(#REF!,#REF!,"HLEVEL")="4",F31+1,F31)</f>
        <v>#NAME?</v>
      </c>
      <c r="G32" s="12" t="e">
        <f>IF(_XLL.EVPRO(#REF!,B32,"HLEVEL")="4",G31+1,G31)</f>
        <v>#NAME?</v>
      </c>
      <c r="H32" s="186" t="s">
        <v>436</v>
      </c>
      <c r="I32" s="12" t="e">
        <f>IF(_XLL.EVPRO(#REF!,#REF!,"HLEVEL")="5",IF(I31+1=3,1,I31+1),I31)</f>
        <v>#NAME?</v>
      </c>
      <c r="J32" s="12" t="e">
        <f>IF(_XLL.EVPRO(#REF!,B32,"HLEVEL")="5",IF(J31+1=3,1,J31+1),J31)</f>
        <v>#NAME?</v>
      </c>
      <c r="K32" s="194">
        <v>0</v>
      </c>
    </row>
    <row r="33" spans="2:11" ht="30">
      <c r="B33" s="98" t="s">
        <v>169</v>
      </c>
      <c r="C33" s="196"/>
      <c r="D33" s="196"/>
      <c r="F33" s="12" t="e">
        <f>IF(_XLL.EVPRO(#REF!,#REF!,"HLEVEL")="4",F32+1,F32)</f>
        <v>#NAME?</v>
      </c>
      <c r="G33" s="12" t="e">
        <f>IF(_XLL.EVPRO(#REF!,B33,"HLEVEL")="4",G32+1,G32)</f>
        <v>#NAME?</v>
      </c>
      <c r="H33" s="186" t="s">
        <v>169</v>
      </c>
      <c r="I33" s="12" t="e">
        <f>IF(_XLL.EVPRO(#REF!,#REF!,"HLEVEL")="5",IF(I32+1=3,1,I32+1),I32)</f>
        <v>#NAME?</v>
      </c>
      <c r="J33" s="12" t="e">
        <f>IF(_XLL.EVPRO(#REF!,B33,"HLEVEL")="5",IF(J32+1=3,1,J32+1),J32)</f>
        <v>#NAME?</v>
      </c>
      <c r="K33" s="194">
        <v>0</v>
      </c>
    </row>
    <row r="34" spans="2:11" ht="15.75">
      <c r="B34" s="98" t="s">
        <v>170</v>
      </c>
      <c r="C34" s="196"/>
      <c r="D34" s="196"/>
      <c r="F34" s="12" t="e">
        <f>IF(_XLL.EVPRO(#REF!,#REF!,"HLEVEL")="4",F33+1,F33)</f>
        <v>#NAME?</v>
      </c>
      <c r="G34" s="12" t="e">
        <f>IF(_XLL.EVPRO(#REF!,B34,"HLEVEL")="4",G33+1,G33)</f>
        <v>#NAME?</v>
      </c>
      <c r="H34" s="186" t="s">
        <v>170</v>
      </c>
      <c r="I34" s="12" t="e">
        <f>IF(_XLL.EVPRO(#REF!,#REF!,"HLEVEL")="5",IF(I33+1=3,1,I33+1),I33)</f>
        <v>#NAME?</v>
      </c>
      <c r="J34" s="12" t="e">
        <f>IF(_XLL.EVPRO(#REF!,B34,"HLEVEL")="5",IF(J33+1=3,1,J33+1),J33)</f>
        <v>#NAME?</v>
      </c>
      <c r="K34" s="194">
        <v>0</v>
      </c>
    </row>
    <row r="35" spans="2:11" ht="15.75">
      <c r="B35" s="98" t="s">
        <v>171</v>
      </c>
      <c r="C35" s="196"/>
      <c r="D35" s="196"/>
      <c r="F35" s="12" t="e">
        <f>IF(_XLL.EVPRO(#REF!,#REF!,"HLEVEL")="4",F34+1,F34)</f>
        <v>#NAME?</v>
      </c>
      <c r="G35" s="12" t="e">
        <f>IF(_XLL.EVPRO(#REF!,B35,"HLEVEL")="4",G34+1,G34)</f>
        <v>#NAME?</v>
      </c>
      <c r="H35" s="186" t="s">
        <v>171</v>
      </c>
      <c r="I35" s="12" t="e">
        <f>IF(_XLL.EVPRO(#REF!,#REF!,"HLEVEL")="5",IF(I34+1=3,1,I34+1),I34)</f>
        <v>#NAME?</v>
      </c>
      <c r="J35" s="12" t="e">
        <f>IF(_XLL.EVPRO(#REF!,B35,"HLEVEL")="5",IF(J34+1=3,1,J34+1),J34)</f>
        <v>#NAME?</v>
      </c>
      <c r="K35" s="194">
        <v>0</v>
      </c>
    </row>
    <row r="36" spans="2:11" ht="30">
      <c r="B36" s="98" t="s">
        <v>172</v>
      </c>
      <c r="C36" s="196"/>
      <c r="D36" s="196"/>
      <c r="F36" s="12" t="e">
        <f>IF(_XLL.EVPRO(#REF!,#REF!,"HLEVEL")="4",F35+1,F35)</f>
        <v>#NAME?</v>
      </c>
      <c r="G36" s="12" t="e">
        <f>IF(_XLL.EVPRO(#REF!,B36,"HLEVEL")="4",G35+1,G35)</f>
        <v>#NAME?</v>
      </c>
      <c r="H36" s="186" t="s">
        <v>172</v>
      </c>
      <c r="I36" s="12" t="e">
        <f>IF(_XLL.EVPRO(#REF!,#REF!,"HLEVEL")="5",IF(I35+1=3,1,I35+1),I35)</f>
        <v>#NAME?</v>
      </c>
      <c r="J36" s="12" t="e">
        <f>IF(_XLL.EVPRO(#REF!,B36,"HLEVEL")="5",IF(J35+1=3,1,J35+1),J35)</f>
        <v>#NAME?</v>
      </c>
      <c r="K36" s="194">
        <v>0</v>
      </c>
    </row>
    <row r="37" spans="2:11" ht="30">
      <c r="B37" s="98" t="s">
        <v>173</v>
      </c>
      <c r="C37" s="196"/>
      <c r="D37" s="196"/>
      <c r="F37" s="12" t="e">
        <f>IF(_XLL.EVPRO(#REF!,#REF!,"HLEVEL")="4",F36+1,F36)</f>
        <v>#NAME?</v>
      </c>
      <c r="G37" s="12" t="e">
        <f>IF(_XLL.EVPRO(#REF!,B37,"HLEVEL")="4",G36+1,G36)</f>
        <v>#NAME?</v>
      </c>
      <c r="H37" s="186" t="s">
        <v>173</v>
      </c>
      <c r="I37" s="12" t="e">
        <f>IF(_XLL.EVPRO(#REF!,#REF!,"HLEVEL")="5",IF(I36+1=3,1,I36+1),I36)</f>
        <v>#NAME?</v>
      </c>
      <c r="J37" s="12" t="e">
        <f>IF(_XLL.EVPRO(#REF!,B37,"HLEVEL")="5",IF(J36+1=3,1,J36+1),J36)</f>
        <v>#NAME?</v>
      </c>
      <c r="K37" s="194">
        <v>0</v>
      </c>
    </row>
    <row r="38" spans="2:11" ht="15.75">
      <c r="B38" s="97" t="s">
        <v>174</v>
      </c>
      <c r="C38" s="196">
        <v>137827</v>
      </c>
      <c r="D38" s="196">
        <v>1826</v>
      </c>
      <c r="F38" s="12" t="e">
        <f>IF(_XLL.EVPRO(#REF!,#REF!,"HLEVEL")="4",F37+1,F37)</f>
        <v>#NAME?</v>
      </c>
      <c r="G38" s="12" t="e">
        <f>IF(_XLL.EVPRO(#REF!,B38,"HLEVEL")="4",G37+1,G37)</f>
        <v>#NAME?</v>
      </c>
      <c r="H38" s="185" t="s">
        <v>174</v>
      </c>
      <c r="I38" s="12" t="e">
        <f>IF(_XLL.EVPRO(#REF!,#REF!,"HLEVEL")="5",IF(I37+1=3,1,I37+1),I37)</f>
        <v>#NAME?</v>
      </c>
      <c r="J38" s="12" t="e">
        <f>IF(_XLL.EVPRO(#REF!,B38,"HLEVEL")="5",IF(J37+1=3,1,J37+1),J37)</f>
        <v>#NAME?</v>
      </c>
      <c r="K38" s="194">
        <v>137827</v>
      </c>
    </row>
    <row r="39" spans="2:11" ht="30">
      <c r="B39" s="97" t="s">
        <v>175</v>
      </c>
      <c r="C39" s="196"/>
      <c r="D39" s="196"/>
      <c r="F39" s="12" t="e">
        <f>IF(_XLL.EVPRO(#REF!,#REF!,"HLEVEL")="4",F38+1,F38)</f>
        <v>#NAME?</v>
      </c>
      <c r="G39" s="12" t="e">
        <f>IF(_XLL.EVPRO(#REF!,B39,"HLEVEL")="4",G38+1,G38)</f>
        <v>#NAME?</v>
      </c>
      <c r="H39" s="185" t="s">
        <v>175</v>
      </c>
      <c r="I39" s="12" t="e">
        <f>IF(_XLL.EVPRO(#REF!,#REF!,"HLEVEL")="5",IF(I38+1=3,1,I38+1),I38)</f>
        <v>#NAME?</v>
      </c>
      <c r="J39" s="12" t="e">
        <f>IF(_XLL.EVPRO(#REF!,B39,"HLEVEL")="5",IF(J38+1=3,1,J38+1),J38)</f>
        <v>#NAME?</v>
      </c>
      <c r="K39" s="194">
        <v>0</v>
      </c>
    </row>
    <row r="40" spans="2:11" ht="15.75">
      <c r="B40" s="97" t="s">
        <v>176</v>
      </c>
      <c r="C40" s="196">
        <v>1187376</v>
      </c>
      <c r="D40" s="196">
        <v>823998</v>
      </c>
      <c r="F40" s="12" t="e">
        <f>IF(_XLL.EVPRO(#REF!,#REF!,"HLEVEL")="4",F39+1,F39)</f>
        <v>#NAME?</v>
      </c>
      <c r="G40" s="12" t="e">
        <f>IF(_XLL.EVPRO(#REF!,B40,"HLEVEL")="4",G39+1,G39)</f>
        <v>#NAME?</v>
      </c>
      <c r="H40" s="187" t="s">
        <v>437</v>
      </c>
      <c r="I40" s="12" t="e">
        <f>IF(_XLL.EVPRO(#REF!,#REF!,"HLEVEL")="5",IF(I39+1=3,1,I39+1),I39)</f>
        <v>#NAME?</v>
      </c>
      <c r="J40" s="12" t="e">
        <f>IF(_XLL.EVPRO(#REF!,B40,"HLEVEL")="5",IF(J39+1=3,1,J39+1),J39)</f>
        <v>#NAME?</v>
      </c>
      <c r="K40" s="194">
        <v>3311389</v>
      </c>
    </row>
    <row r="41" spans="2:11" ht="15.75">
      <c r="B41" s="97" t="s">
        <v>177</v>
      </c>
      <c r="C41" s="196">
        <v>3311389</v>
      </c>
      <c r="D41" s="196">
        <v>2221008</v>
      </c>
      <c r="F41" s="12" t="e">
        <f>IF(_XLL.EVPRO(#REF!,#REF!,"HLEVEL")="4",F40+1,F40)</f>
        <v>#NAME?</v>
      </c>
      <c r="G41" s="12" t="e">
        <f>IF(_XLL.EVPRO(#REF!,B41,"HLEVEL")="4",G40+1,G40)</f>
        <v>#NAME?</v>
      </c>
      <c r="H41" s="185" t="s">
        <v>438</v>
      </c>
      <c r="I41" s="12" t="e">
        <f>IF(_XLL.EVPRO(#REF!,#REF!,"HLEVEL")="5",IF(I40+1=3,1,I40+1),I40)</f>
        <v>#NAME?</v>
      </c>
      <c r="J41" s="12" t="e">
        <f>IF(_XLL.EVPRO(#REF!,B41,"HLEVEL")="5",IF(J40+1=3,1,J40+1),J40)</f>
        <v>#NAME?</v>
      </c>
      <c r="K41" s="194">
        <v>95866</v>
      </c>
    </row>
    <row r="42" spans="2:11" ht="15.75">
      <c r="B42" s="38" t="s">
        <v>178</v>
      </c>
      <c r="C42" s="16">
        <f>SUM(C43:C45,C46,C70:C72)+C55+C56</f>
        <v>-49081051</v>
      </c>
      <c r="D42" s="106">
        <f>SUM(D43:D45,D46,D70:D72)+D55+D56</f>
        <v>-25115292</v>
      </c>
      <c r="E42" s="4" t="s">
        <v>416</v>
      </c>
      <c r="F42" s="16">
        <v>1</v>
      </c>
      <c r="G42" s="16">
        <v>0</v>
      </c>
      <c r="H42" s="185" t="s">
        <v>439</v>
      </c>
      <c r="I42" s="16">
        <v>2</v>
      </c>
      <c r="J42" s="16">
        <v>0</v>
      </c>
      <c r="K42" s="194">
        <v>0</v>
      </c>
    </row>
    <row r="43" spans="2:11" ht="15.75">
      <c r="B43" s="97" t="s">
        <v>179</v>
      </c>
      <c r="C43" s="196">
        <v>-5552492</v>
      </c>
      <c r="D43" s="196">
        <v>-3819803</v>
      </c>
      <c r="F43" s="12" t="e">
        <f>IF(_XLL.EVPRO(#REF!,#REF!,"HLEVEL")="4",F42+1,F42)</f>
        <v>#NAME?</v>
      </c>
      <c r="G43" s="12" t="e">
        <f>IF(_XLL.EVPRO(#REF!,B43,"HLEVEL")="4",G42+1,G42)</f>
        <v>#NAME?</v>
      </c>
      <c r="H43" s="185" t="s">
        <v>440</v>
      </c>
      <c r="I43" s="12" t="e">
        <f>IF(_XLL.EVPRO(#REF!,#REF!,"HLEVEL")="5",IF(I42+1=3,1,I42+1),I42)</f>
        <v>#NAME?</v>
      </c>
      <c r="J43" s="12" t="e">
        <f>IF(_XLL.EVPRO(#REF!,B43,"HLEVEL")="5",IF(J42+1=3,1,J42+1),J42)</f>
        <v>#NAME?</v>
      </c>
      <c r="K43" s="194">
        <v>8301</v>
      </c>
    </row>
    <row r="44" spans="2:11" ht="15.75">
      <c r="B44" s="97" t="s">
        <v>180</v>
      </c>
      <c r="C44" s="196">
        <v>-33749489</v>
      </c>
      <c r="D44" s="196">
        <v>-12013692</v>
      </c>
      <c r="F44" s="12" t="e">
        <f>IF(_XLL.EVPRO(#REF!,#REF!,"HLEVEL")="4",F43+1,F43)</f>
        <v>#NAME?</v>
      </c>
      <c r="G44" s="12" t="e">
        <f>IF(_XLL.EVPRO(#REF!,B44,"HLEVEL")="4",G43+1,G43)</f>
        <v>#NAME?</v>
      </c>
      <c r="H44" s="185" t="s">
        <v>441</v>
      </c>
      <c r="I44" s="12" t="e">
        <f>IF(_XLL.EVPRO(#REF!,#REF!,"HLEVEL")="5",IF(I43+1=3,1,I43+1),I43)</f>
        <v>#NAME?</v>
      </c>
      <c r="J44" s="12" t="e">
        <f>IF(_XLL.EVPRO(#REF!,B44,"HLEVEL")="5",IF(J43+1=3,1,J43+1),J43)</f>
        <v>#NAME?</v>
      </c>
      <c r="K44" s="194">
        <v>0</v>
      </c>
    </row>
    <row r="45" spans="2:11" ht="15.75">
      <c r="B45" s="97" t="s">
        <v>181</v>
      </c>
      <c r="C45" s="196">
        <v>-2934779</v>
      </c>
      <c r="D45" s="196">
        <v>-2854016</v>
      </c>
      <c r="F45" s="12" t="e">
        <f>IF(_XLL.EVPRO(#REF!,#REF!,"HLEVEL")="4",F44+1,F44)</f>
        <v>#NAME?</v>
      </c>
      <c r="G45" s="12" t="e">
        <f>IF(_XLL.EVPRO(#REF!,B45,"HLEVEL")="4",G44+1,G44)</f>
        <v>#NAME?</v>
      </c>
      <c r="H45" s="185" t="s">
        <v>442</v>
      </c>
      <c r="I45" s="12" t="e">
        <f>IF(_XLL.EVPRO(#REF!,#REF!,"HLEVEL")="5",IF(I44+1=3,1,I44+1),I44)</f>
        <v>#NAME?</v>
      </c>
      <c r="J45" s="12" t="e">
        <f>IF(_XLL.EVPRO(#REF!,B45,"HLEVEL")="5",IF(J44+1=3,1,J44+1),J44)</f>
        <v>#NAME?</v>
      </c>
      <c r="K45" s="194">
        <v>354</v>
      </c>
    </row>
    <row r="46" spans="2:11" ht="15.75">
      <c r="B46" s="39" t="s">
        <v>182</v>
      </c>
      <c r="C46" s="16">
        <f>SUM(C47:C54)</f>
        <v>-1618537</v>
      </c>
      <c r="D46" s="106">
        <f>SUM(D47:D54)</f>
        <v>-1146704</v>
      </c>
      <c r="E46" s="4" t="s">
        <v>416</v>
      </c>
      <c r="F46" s="16">
        <v>1</v>
      </c>
      <c r="G46" s="16">
        <v>0</v>
      </c>
      <c r="H46" s="185" t="s">
        <v>443</v>
      </c>
      <c r="I46" s="16">
        <v>2</v>
      </c>
      <c r="J46" s="16">
        <v>0</v>
      </c>
      <c r="K46" s="194">
        <v>3206868</v>
      </c>
    </row>
    <row r="47" spans="2:11" ht="15.75">
      <c r="B47" s="98" t="s">
        <v>183</v>
      </c>
      <c r="C47" s="196">
        <v>-39003</v>
      </c>
      <c r="D47" s="196">
        <v>-1733</v>
      </c>
      <c r="F47" s="12" t="e">
        <f>IF(_XLL.EVPRO(#REF!,#REF!,"HLEVEL")="4",F46+1,F46)</f>
        <v>#NAME?</v>
      </c>
      <c r="G47" s="12" t="e">
        <f>IF(_XLL.EVPRO(#REF!,B47,"HLEVEL")="4",G46+1,G46)</f>
        <v>#NAME?</v>
      </c>
      <c r="H47" s="184" t="s">
        <v>178</v>
      </c>
      <c r="I47" s="12" t="e">
        <f>IF(_XLL.EVPRO(#REF!,#REF!,"HLEVEL")="5",IF(I46+1=3,1,I46+1),I46)</f>
        <v>#NAME?</v>
      </c>
      <c r="J47" s="12" t="e">
        <f>IF(_XLL.EVPRO(#REF!,B47,"HLEVEL")="5",IF(J46+1=3,1,J46+1),J46)</f>
        <v>#NAME?</v>
      </c>
      <c r="K47" s="194">
        <v>-49081051</v>
      </c>
    </row>
    <row r="48" spans="2:11" ht="30">
      <c r="B48" s="98" t="s">
        <v>184</v>
      </c>
      <c r="C48" s="196">
        <v>-1532122</v>
      </c>
      <c r="D48" s="196">
        <v>-1104900</v>
      </c>
      <c r="F48" s="12" t="e">
        <f>IF(_XLL.EVPRO(#REF!,#REF!,"HLEVEL")="4",F47+1,F47)</f>
        <v>#NAME?</v>
      </c>
      <c r="G48" s="12" t="e">
        <f>IF(_XLL.EVPRO(#REF!,B48,"HLEVEL")="4",G47+1,G47)</f>
        <v>#NAME?</v>
      </c>
      <c r="H48" s="188" t="s">
        <v>432</v>
      </c>
      <c r="I48" s="12" t="e">
        <f>IF(_XLL.EVPRO(#REF!,#REF!,"HLEVEL")="5",IF(I47+1=3,1,I47+1),I47)</f>
        <v>#NAME?</v>
      </c>
      <c r="J48" s="12" t="e">
        <f>IF(_XLL.EVPRO(#REF!,B48,"HLEVEL")="5",IF(J47+1=3,1,J47+1),J47)</f>
        <v>#NAME?</v>
      </c>
      <c r="K48" s="194">
        <v>0</v>
      </c>
    </row>
    <row r="49" spans="2:11" ht="30">
      <c r="B49" s="98" t="s">
        <v>185</v>
      </c>
      <c r="C49" s="196"/>
      <c r="D49" s="196"/>
      <c r="F49" s="12" t="e">
        <f>IF(_XLL.EVPRO(#REF!,#REF!,"HLEVEL")="4",F48+1,F48)</f>
        <v>#NAME?</v>
      </c>
      <c r="G49" s="12" t="e">
        <f>IF(_XLL.EVPRO(#REF!,B49,"HLEVEL")="4",G48+1,G48)</f>
        <v>#NAME?</v>
      </c>
      <c r="H49" s="185" t="s">
        <v>179</v>
      </c>
      <c r="I49" s="12" t="e">
        <f>IF(_XLL.EVPRO(#REF!,#REF!,"HLEVEL")="5",IF(I48+1=3,1,I48+1),I48)</f>
        <v>#NAME?</v>
      </c>
      <c r="J49" s="12" t="e">
        <f>IF(_XLL.EVPRO(#REF!,B49,"HLEVEL")="5",IF(J48+1=3,1,J48+1),J48)</f>
        <v>#NAME?</v>
      </c>
      <c r="K49" s="194">
        <v>-5552492</v>
      </c>
    </row>
    <row r="50" spans="2:11" ht="15.75">
      <c r="B50" s="98" t="s">
        <v>186</v>
      </c>
      <c r="C50" s="196"/>
      <c r="D50" s="196"/>
      <c r="F50" s="12" t="e">
        <f>IF(_XLL.EVPRO(#REF!,#REF!,"HLEVEL")="4",F49+1,F49)</f>
        <v>#NAME?</v>
      </c>
      <c r="G50" s="12" t="e">
        <f>IF(_XLL.EVPRO(#REF!,B50,"HLEVEL")="4",G49+1,G49)</f>
        <v>#NAME?</v>
      </c>
      <c r="H50" s="185" t="s">
        <v>180</v>
      </c>
      <c r="I50" s="12" t="e">
        <f>IF(_XLL.EVPRO(#REF!,#REF!,"HLEVEL")="5",IF(I49+1=3,1,I49+1),I49)</f>
        <v>#NAME?</v>
      </c>
      <c r="J50" s="12" t="e">
        <f>IF(_XLL.EVPRO(#REF!,B50,"HLEVEL")="5",IF(J49+1=3,1,J49+1),J49)</f>
        <v>#NAME?</v>
      </c>
      <c r="K50" s="194">
        <v>-33749489</v>
      </c>
    </row>
    <row r="51" spans="2:11" ht="30">
      <c r="B51" s="98" t="s">
        <v>187</v>
      </c>
      <c r="C51" s="196"/>
      <c r="D51" s="196"/>
      <c r="F51" s="12" t="e">
        <f>IF(_XLL.EVPRO(#REF!,#REF!,"HLEVEL")="4",F50+1,F50)</f>
        <v>#NAME?</v>
      </c>
      <c r="G51" s="12" t="e">
        <f>IF(_XLL.EVPRO(#REF!,B51,"HLEVEL")="4",G50+1,G50)</f>
        <v>#NAME?</v>
      </c>
      <c r="H51" s="185" t="s">
        <v>181</v>
      </c>
      <c r="I51" s="12" t="e">
        <f>IF(_XLL.EVPRO(#REF!,#REF!,"HLEVEL")="5",IF(I50+1=3,1,I50+1),I50)</f>
        <v>#NAME?</v>
      </c>
      <c r="J51" s="12" t="e">
        <f>IF(_XLL.EVPRO(#REF!,B51,"HLEVEL")="5",IF(J50+1=3,1,J50+1),J50)</f>
        <v>#NAME?</v>
      </c>
      <c r="K51" s="194">
        <v>-2934779</v>
      </c>
    </row>
    <row r="52" spans="2:11" ht="30">
      <c r="B52" s="98" t="s">
        <v>188</v>
      </c>
      <c r="C52" s="196"/>
      <c r="D52" s="196"/>
      <c r="F52" s="12" t="e">
        <f>IF(_XLL.EVPRO(#REF!,#REF!,"HLEVEL")="4",F51+1,F51)</f>
        <v>#NAME?</v>
      </c>
      <c r="G52" s="12" t="e">
        <f>IF(_XLL.EVPRO(#REF!,B52,"HLEVEL")="4",G51+1,G51)</f>
        <v>#NAME?</v>
      </c>
      <c r="H52" s="185" t="s">
        <v>182</v>
      </c>
      <c r="I52" s="12" t="e">
        <f>IF(_XLL.EVPRO(#REF!,#REF!,"HLEVEL")="5",IF(I51+1=3,1,I51+1),I51)</f>
        <v>#NAME?</v>
      </c>
      <c r="J52" s="12" t="e">
        <f>IF(_XLL.EVPRO(#REF!,B52,"HLEVEL")="5",IF(J51+1=3,1,J51+1),J51)</f>
        <v>#NAME?</v>
      </c>
      <c r="K52" s="194">
        <v>0</v>
      </c>
    </row>
    <row r="53" spans="2:11" ht="15.75">
      <c r="B53" s="98" t="s">
        <v>189</v>
      </c>
      <c r="C53" s="196">
        <v>-5276</v>
      </c>
      <c r="D53" s="196">
        <v>-780</v>
      </c>
      <c r="F53" s="12" t="e">
        <f>IF(_XLL.EVPRO(#REF!,#REF!,"HLEVEL")="4",F52+1,F52)</f>
        <v>#NAME?</v>
      </c>
      <c r="G53" s="12" t="e">
        <f>IF(_XLL.EVPRO(#REF!,B53,"HLEVEL")="4",G52+1,G52)</f>
        <v>#NAME?</v>
      </c>
      <c r="H53" s="186" t="s">
        <v>183</v>
      </c>
      <c r="I53" s="12" t="e">
        <f>IF(_XLL.EVPRO(#REF!,#REF!,"HLEVEL")="5",IF(I52+1=3,1,I52+1),I52)</f>
        <v>#NAME?</v>
      </c>
      <c r="J53" s="12" t="e">
        <f>IF(_XLL.EVPRO(#REF!,B53,"HLEVEL")="5",IF(J52+1=3,1,J52+1),J52)</f>
        <v>#NAME?</v>
      </c>
      <c r="K53" s="194">
        <v>-39003</v>
      </c>
    </row>
    <row r="54" spans="2:11" ht="25.5">
      <c r="B54" s="98" t="s">
        <v>190</v>
      </c>
      <c r="C54" s="196">
        <v>-42136</v>
      </c>
      <c r="D54" s="196">
        <v>-39291</v>
      </c>
      <c r="F54" s="12" t="e">
        <f>IF(_XLL.EVPRO(#REF!,#REF!,"HLEVEL")="4",F53+1,F53)</f>
        <v>#NAME?</v>
      </c>
      <c r="G54" s="12" t="e">
        <f>IF(_XLL.EVPRO(#REF!,B54,"HLEVEL")="4",G53+1,G53)</f>
        <v>#NAME?</v>
      </c>
      <c r="H54" s="186" t="s">
        <v>184</v>
      </c>
      <c r="I54" s="12" t="e">
        <f>IF(_XLL.EVPRO(#REF!,#REF!,"HLEVEL")="5",IF(I53+1=3,1,I53+1),I53)</f>
        <v>#NAME?</v>
      </c>
      <c r="J54" s="12" t="e">
        <f>IF(_XLL.EVPRO(#REF!,B54,"HLEVEL")="5",IF(J53+1=3,1,J53+1),J53)</f>
        <v>#NAME?</v>
      </c>
      <c r="K54" s="194">
        <v>-1532122</v>
      </c>
    </row>
    <row r="55" spans="2:11" ht="25.5">
      <c r="B55" s="97" t="s">
        <v>191</v>
      </c>
      <c r="C55" s="196">
        <v>-517311</v>
      </c>
      <c r="D55" s="196">
        <v>-367583</v>
      </c>
      <c r="F55" s="12" t="e">
        <f>IF(_XLL.EVPRO(#REF!,#REF!,"HLEVEL")="4",F54+1,F54)</f>
        <v>#NAME?</v>
      </c>
      <c r="G55" s="12" t="e">
        <f>IF(_XLL.EVPRO(#REF!,B55,"HLEVEL")="4",G54+1,G54)</f>
        <v>#NAME?</v>
      </c>
      <c r="H55" s="186" t="s">
        <v>185</v>
      </c>
      <c r="I55" s="12" t="e">
        <f>IF(_XLL.EVPRO(#REF!,#REF!,"HLEVEL")="5",IF(I54+1=3,1,I54+1),I54)</f>
        <v>#NAME?</v>
      </c>
      <c r="J55" s="12" t="e">
        <f>IF(_XLL.EVPRO(#REF!,B55,"HLEVEL")="5",IF(J54+1=3,1,J54+1),J54)</f>
        <v>#NAME?</v>
      </c>
      <c r="K55" s="194">
        <v>0</v>
      </c>
    </row>
    <row r="56" spans="2:11" ht="15.75">
      <c r="B56" s="97" t="s">
        <v>192</v>
      </c>
      <c r="C56" s="196">
        <v>-3289753</v>
      </c>
      <c r="D56" s="196">
        <v>-1888927</v>
      </c>
      <c r="F56" s="12" t="e">
        <f>IF(_XLL.EVPRO(#REF!,#REF!,"HLEVEL")="4",F55+1,F55)</f>
        <v>#NAME?</v>
      </c>
      <c r="G56" s="12" t="e">
        <f>IF(_XLL.EVPRO(#REF!,B56,"HLEVEL")="4",G55+1,G55)</f>
        <v>#NAME?</v>
      </c>
      <c r="H56" s="186" t="s">
        <v>186</v>
      </c>
      <c r="I56" s="12" t="e">
        <f>IF(_XLL.EVPRO(#REF!,#REF!,"HLEVEL")="5",IF(I55+1=3,1,I55+1),I55)</f>
        <v>#NAME?</v>
      </c>
      <c r="J56" s="12" t="e">
        <f>IF(_XLL.EVPRO(#REF!,B56,"HLEVEL")="5",IF(J55+1=3,1,J55+1),J55)</f>
        <v>#NAME?</v>
      </c>
      <c r="K56" s="194">
        <v>0</v>
      </c>
    </row>
    <row r="57" spans="2:11" ht="30">
      <c r="B57" s="39" t="s">
        <v>193</v>
      </c>
      <c r="C57" s="16"/>
      <c r="D57" s="16"/>
      <c r="F57" s="16">
        <v>1</v>
      </c>
      <c r="G57" s="16">
        <v>0</v>
      </c>
      <c r="H57" s="186" t="s">
        <v>187</v>
      </c>
      <c r="I57" s="16">
        <v>2</v>
      </c>
      <c r="J57" s="16">
        <v>0</v>
      </c>
      <c r="K57" s="194">
        <v>0</v>
      </c>
    </row>
    <row r="58" spans="2:11" ht="25.5">
      <c r="B58" s="98" t="s">
        <v>194</v>
      </c>
      <c r="C58" s="196"/>
      <c r="D58" s="196"/>
      <c r="F58" s="12" t="e">
        <f>IF(_XLL.EVPRO(#REF!,#REF!,"HLEVEL")="4",F57+1,F57)</f>
        <v>#NAME?</v>
      </c>
      <c r="G58" s="12" t="e">
        <f>IF(_XLL.EVPRO(#REF!,B58,"HLEVEL")="4",G57+1,G57)</f>
        <v>#NAME?</v>
      </c>
      <c r="H58" s="186" t="s">
        <v>188</v>
      </c>
      <c r="I58" s="12" t="e">
        <f>IF(_XLL.EVPRO(#REF!,#REF!,"HLEVEL")="5",IF(I57+1=3,1,I57+1),I57)</f>
        <v>#NAME?</v>
      </c>
      <c r="J58" s="12" t="e">
        <f>IF(_XLL.EVPRO(#REF!,B58,"HLEVEL")="5",IF(J57+1=3,1,J57+1),J57)</f>
        <v>#NAME?</v>
      </c>
      <c r="K58" s="194">
        <v>0</v>
      </c>
    </row>
    <row r="59" spans="2:11" ht="15.75">
      <c r="B59" s="98" t="s">
        <v>195</v>
      </c>
      <c r="C59" s="196"/>
      <c r="D59" s="196"/>
      <c r="F59" s="12" t="e">
        <f>IF(_XLL.EVPRO(#REF!,#REF!,"HLEVEL")="4",F58+1,F58)</f>
        <v>#NAME?</v>
      </c>
      <c r="G59" s="12" t="e">
        <f>IF(_XLL.EVPRO(#REF!,B59,"HLEVEL")="4",G58+1,G58)</f>
        <v>#NAME?</v>
      </c>
      <c r="H59" s="186" t="s">
        <v>189</v>
      </c>
      <c r="I59" s="12" t="e">
        <f>IF(_XLL.EVPRO(#REF!,#REF!,"HLEVEL")="5",IF(I58+1=3,1,I58+1),I58)</f>
        <v>#NAME?</v>
      </c>
      <c r="J59" s="12" t="e">
        <f>IF(_XLL.EVPRO(#REF!,B59,"HLEVEL")="5",IF(J58+1=3,1,J58+1),J58)</f>
        <v>#NAME?</v>
      </c>
      <c r="K59" s="194">
        <v>-5276</v>
      </c>
    </row>
    <row r="60" spans="2:11" ht="25.5">
      <c r="B60" s="98" t="s">
        <v>196</v>
      </c>
      <c r="C60" s="196"/>
      <c r="D60" s="196"/>
      <c r="F60" s="12" t="e">
        <f>IF(_XLL.EVPRO(#REF!,#REF!,"HLEVEL")="4",F59+1,F59)</f>
        <v>#NAME?</v>
      </c>
      <c r="G60" s="12" t="e">
        <f>IF(_XLL.EVPRO(#REF!,B60,"HLEVEL")="4",G59+1,G59)</f>
        <v>#NAME?</v>
      </c>
      <c r="H60" s="186" t="s">
        <v>190</v>
      </c>
      <c r="I60" s="12" t="e">
        <f>IF(_XLL.EVPRO(#REF!,#REF!,"HLEVEL")="5",IF(I59+1=3,1,I59+1),I59)</f>
        <v>#NAME?</v>
      </c>
      <c r="J60" s="12" t="e">
        <f>IF(_XLL.EVPRO(#REF!,B60,"HLEVEL")="5",IF(J59+1=3,1,J59+1),J59)</f>
        <v>#NAME?</v>
      </c>
      <c r="K60" s="194">
        <v>-42136</v>
      </c>
    </row>
    <row r="61" spans="2:11" ht="30">
      <c r="B61" s="98" t="s">
        <v>197</v>
      </c>
      <c r="C61" s="196"/>
      <c r="D61" s="196"/>
      <c r="F61" s="12" t="e">
        <f>IF(_XLL.EVPRO(#REF!,#REF!,"HLEVEL")="4",F60+1,F60)</f>
        <v>#NAME?</v>
      </c>
      <c r="G61" s="12" t="e">
        <f>IF(_XLL.EVPRO(#REF!,B61,"HLEVEL")="4",G60+1,G60)</f>
        <v>#NAME?</v>
      </c>
      <c r="H61" s="185" t="s">
        <v>191</v>
      </c>
      <c r="I61" s="12" t="e">
        <f>IF(_XLL.EVPRO(#REF!,#REF!,"HLEVEL")="5",IF(I60+1=3,1,I60+1),I60)</f>
        <v>#NAME?</v>
      </c>
      <c r="J61" s="12" t="e">
        <f>IF(_XLL.EVPRO(#REF!,B61,"HLEVEL")="5",IF(J60+1=3,1,J60+1),J60)</f>
        <v>#NAME?</v>
      </c>
      <c r="K61" s="194">
        <v>-517311</v>
      </c>
    </row>
    <row r="62" spans="2:11" ht="15.75">
      <c r="B62" s="98" t="s">
        <v>198</v>
      </c>
      <c r="C62" s="196"/>
      <c r="D62" s="196"/>
      <c r="F62" s="12" t="e">
        <f>IF(_XLL.EVPRO(#REF!,#REF!,"HLEVEL")="4",F61+1,F61)</f>
        <v>#NAME?</v>
      </c>
      <c r="G62" s="12" t="e">
        <f>IF(_XLL.EVPRO(#REF!,B62,"HLEVEL")="4",G61+1,G61)</f>
        <v>#NAME?</v>
      </c>
      <c r="H62" s="185" t="s">
        <v>192</v>
      </c>
      <c r="I62" s="12" t="e">
        <f>IF(_XLL.EVPRO(#REF!,#REF!,"HLEVEL")="5",IF(I61+1=3,1,I61+1),I61)</f>
        <v>#NAME?</v>
      </c>
      <c r="J62" s="12" t="e">
        <f>IF(_XLL.EVPRO(#REF!,B62,"HLEVEL")="5",IF(J61+1=3,1,J61+1),J61)</f>
        <v>#NAME?</v>
      </c>
      <c r="K62" s="194">
        <v>-3289753</v>
      </c>
    </row>
    <row r="63" spans="2:11" ht="25.5">
      <c r="B63" s="98" t="s">
        <v>199</v>
      </c>
      <c r="C63" s="196"/>
      <c r="D63" s="196"/>
      <c r="F63" s="12" t="e">
        <f>IF(_XLL.EVPRO(#REF!,#REF!,"HLEVEL")="4",F62+1,F62)</f>
        <v>#NAME?</v>
      </c>
      <c r="G63" s="12" t="e">
        <f>IF(_XLL.EVPRO(#REF!,B63,"HLEVEL")="4",G62+1,G62)</f>
        <v>#NAME?</v>
      </c>
      <c r="H63" s="185" t="s">
        <v>193</v>
      </c>
      <c r="I63" s="12" t="e">
        <f>IF(_XLL.EVPRO(#REF!,#REF!,"HLEVEL")="5",IF(I62+1=3,1,I62+1),I62)</f>
        <v>#NAME?</v>
      </c>
      <c r="J63" s="12" t="e">
        <f>IF(_XLL.EVPRO(#REF!,B63,"HLEVEL")="5",IF(J62+1=3,1,J62+1),J62)</f>
        <v>#NAME?</v>
      </c>
      <c r="K63" s="194">
        <v>0</v>
      </c>
    </row>
    <row r="64" spans="2:11" ht="15.75">
      <c r="B64" s="98" t="s">
        <v>200</v>
      </c>
      <c r="C64" s="196"/>
      <c r="D64" s="196"/>
      <c r="F64" s="12" t="e">
        <f>IF(_XLL.EVPRO(#REF!,#REF!,"HLEVEL")="4",F63+1,F63)</f>
        <v>#NAME?</v>
      </c>
      <c r="G64" s="12" t="e">
        <f>IF(_XLL.EVPRO(#REF!,B64,"HLEVEL")="4",G63+1,G63)</f>
        <v>#NAME?</v>
      </c>
      <c r="H64" s="186" t="s">
        <v>194</v>
      </c>
      <c r="I64" s="12" t="e">
        <f>IF(_XLL.EVPRO(#REF!,#REF!,"HLEVEL")="5",IF(I63+1=3,1,I63+1),I63)</f>
        <v>#NAME?</v>
      </c>
      <c r="J64" s="12" t="e">
        <f>IF(_XLL.EVPRO(#REF!,B64,"HLEVEL")="5",IF(J63+1=3,1,J63+1),J63)</f>
        <v>#NAME?</v>
      </c>
      <c r="K64" s="194">
        <v>0</v>
      </c>
    </row>
    <row r="65" spans="2:11" ht="30">
      <c r="B65" s="98" t="s">
        <v>201</v>
      </c>
      <c r="C65" s="196"/>
      <c r="D65" s="196"/>
      <c r="F65" s="12" t="e">
        <f>IF(_XLL.EVPRO(#REF!,#REF!,"HLEVEL")="4",F64+1,F64)</f>
        <v>#NAME?</v>
      </c>
      <c r="G65" s="12" t="e">
        <f>IF(_XLL.EVPRO(#REF!,B65,"HLEVEL")="4",G64+1,G64)</f>
        <v>#NAME?</v>
      </c>
      <c r="H65" s="186" t="s">
        <v>195</v>
      </c>
      <c r="I65" s="12" t="e">
        <f>IF(_XLL.EVPRO(#REF!,#REF!,"HLEVEL")="5",IF(I64+1=3,1,I64+1),I64)</f>
        <v>#NAME?</v>
      </c>
      <c r="J65" s="12" t="e">
        <f>IF(_XLL.EVPRO(#REF!,B65,"HLEVEL")="5",IF(J64+1=3,1,J64+1),J64)</f>
        <v>#NAME?</v>
      </c>
      <c r="K65" s="194">
        <v>0</v>
      </c>
    </row>
    <row r="66" spans="2:11" ht="15.75">
      <c r="B66" s="98" t="s">
        <v>202</v>
      </c>
      <c r="C66" s="196"/>
      <c r="D66" s="196"/>
      <c r="F66" s="12" t="e">
        <f>IF(_XLL.EVPRO(#REF!,#REF!,"HLEVEL")="4",F65+1,F65)</f>
        <v>#NAME?</v>
      </c>
      <c r="G66" s="12" t="e">
        <f>IF(_XLL.EVPRO(#REF!,B66,"HLEVEL")="4",G65+1,G65)</f>
        <v>#NAME?</v>
      </c>
      <c r="H66" s="186" t="s">
        <v>196</v>
      </c>
      <c r="I66" s="12" t="e">
        <f>IF(_XLL.EVPRO(#REF!,#REF!,"HLEVEL")="5",IF(I65+1=3,1,I65+1),I65)</f>
        <v>#NAME?</v>
      </c>
      <c r="J66" s="12" t="e">
        <f>IF(_XLL.EVPRO(#REF!,B66,"HLEVEL")="5",IF(J65+1=3,1,J65+1),J65)</f>
        <v>#NAME?</v>
      </c>
      <c r="K66" s="194">
        <v>0</v>
      </c>
    </row>
    <row r="67" spans="2:11" ht="30">
      <c r="B67" s="98" t="s">
        <v>203</v>
      </c>
      <c r="C67" s="196"/>
      <c r="D67" s="196"/>
      <c r="F67" s="12" t="e">
        <f>IF(_XLL.EVPRO(#REF!,#REF!,"HLEVEL")="4",F66+1,F66)</f>
        <v>#NAME?</v>
      </c>
      <c r="G67" s="12" t="e">
        <f>IF(_XLL.EVPRO(#REF!,B67,"HLEVEL")="4",G66+1,G66)</f>
        <v>#NAME?</v>
      </c>
      <c r="H67" s="186" t="s">
        <v>197</v>
      </c>
      <c r="I67" s="12" t="e">
        <f>IF(_XLL.EVPRO(#REF!,#REF!,"HLEVEL")="5",IF(I66+1=3,1,I66+1),I66)</f>
        <v>#NAME?</v>
      </c>
      <c r="J67" s="12" t="e">
        <f>IF(_XLL.EVPRO(#REF!,B67,"HLEVEL")="5",IF(J66+1=3,1,J66+1),J66)</f>
        <v>#NAME?</v>
      </c>
      <c r="K67" s="194">
        <v>0</v>
      </c>
    </row>
    <row r="68" spans="2:11" ht="30">
      <c r="B68" s="98" t="s">
        <v>204</v>
      </c>
      <c r="C68" s="196"/>
      <c r="D68" s="196"/>
      <c r="F68" s="12" t="e">
        <f>IF(_XLL.EVPRO(#REF!,#REF!,"HLEVEL")="4",F67+1,F67)</f>
        <v>#NAME?</v>
      </c>
      <c r="G68" s="12" t="e">
        <f>IF(_XLL.EVPRO(#REF!,B68,"HLEVEL")="4",G67+1,G67)</f>
        <v>#NAME?</v>
      </c>
      <c r="H68" s="186" t="s">
        <v>198</v>
      </c>
      <c r="I68" s="12" t="e">
        <f>IF(_XLL.EVPRO(#REF!,#REF!,"HLEVEL")="5",IF(I67+1=3,1,I67+1),I67)</f>
        <v>#NAME?</v>
      </c>
      <c r="J68" s="12" t="e">
        <f>IF(_XLL.EVPRO(#REF!,B68,"HLEVEL")="5",IF(J67+1=3,1,J67+1),J67)</f>
        <v>#NAME?</v>
      </c>
      <c r="K68" s="194">
        <v>0</v>
      </c>
    </row>
    <row r="69" spans="2:11" ht="30">
      <c r="B69" s="98" t="s">
        <v>205</v>
      </c>
      <c r="C69" s="196"/>
      <c r="D69" s="196"/>
      <c r="F69" s="12" t="e">
        <f>IF(_XLL.EVPRO(#REF!,#REF!,"HLEVEL")="4",F68+1,F68)</f>
        <v>#NAME?</v>
      </c>
      <c r="G69" s="12" t="e">
        <f>IF(_XLL.EVPRO(#REF!,B69,"HLEVEL")="4",G68+1,G68)</f>
        <v>#NAME?</v>
      </c>
      <c r="H69" s="186" t="s">
        <v>199</v>
      </c>
      <c r="I69" s="12" t="e">
        <f>IF(_XLL.EVPRO(#REF!,#REF!,"HLEVEL")="5",IF(I68+1=3,1,I68+1),I68)</f>
        <v>#NAME?</v>
      </c>
      <c r="J69" s="12" t="e">
        <f>IF(_XLL.EVPRO(#REF!,B69,"HLEVEL")="5",IF(J68+1=3,1,J68+1),J68)</f>
        <v>#NAME?</v>
      </c>
      <c r="K69" s="194">
        <v>0</v>
      </c>
    </row>
    <row r="70" spans="2:11" ht="15.75">
      <c r="B70" s="97" t="s">
        <v>206</v>
      </c>
      <c r="C70" s="196">
        <v>-245112</v>
      </c>
      <c r="D70" s="196">
        <v>-39220</v>
      </c>
      <c r="F70" s="12" t="e">
        <f>IF(_XLL.EVPRO(#REF!,#REF!,"HLEVEL")="4",F69+1,F69)</f>
        <v>#NAME?</v>
      </c>
      <c r="G70" s="12" t="e">
        <f>IF(_XLL.EVPRO(#REF!,B70,"HLEVEL")="4",G69+1,G69)</f>
        <v>#NAME?</v>
      </c>
      <c r="H70" s="186" t="s">
        <v>200</v>
      </c>
      <c r="I70" s="12" t="e">
        <f>IF(_XLL.EVPRO(#REF!,#REF!,"HLEVEL")="5",IF(I69+1=3,1,I69+1),I69)</f>
        <v>#NAME?</v>
      </c>
      <c r="J70" s="12" t="e">
        <f>IF(_XLL.EVPRO(#REF!,B70,"HLEVEL")="5",IF(J69+1=3,1,J69+1),J69)</f>
        <v>#NAME?</v>
      </c>
      <c r="K70" s="194">
        <v>0</v>
      </c>
    </row>
    <row r="71" spans="2:11" ht="25.5">
      <c r="B71" s="97" t="s">
        <v>207</v>
      </c>
      <c r="C71" s="196"/>
      <c r="D71" s="196"/>
      <c r="F71" s="12" t="e">
        <f>IF(_XLL.EVPRO(#REF!,#REF!,"HLEVEL")="4",F70+1,F70)</f>
        <v>#NAME?</v>
      </c>
      <c r="G71" s="12" t="e">
        <f>IF(_XLL.EVPRO(#REF!,B71,"HLEVEL")="4",G70+1,G70)</f>
        <v>#NAME?</v>
      </c>
      <c r="H71" s="186" t="s">
        <v>201</v>
      </c>
      <c r="I71" s="12" t="e">
        <f>IF(_XLL.EVPRO(#REF!,#REF!,"HLEVEL")="5",IF(I70+1=3,1,I70+1),I70)</f>
        <v>#NAME?</v>
      </c>
      <c r="J71" s="12" t="e">
        <f>IF(_XLL.EVPRO(#REF!,B71,"HLEVEL")="5",IF(J70+1=3,1,J70+1),J70)</f>
        <v>#NAME?</v>
      </c>
      <c r="K71" s="194">
        <v>0</v>
      </c>
    </row>
    <row r="72" spans="2:11" ht="15.75">
      <c r="B72" s="97" t="s">
        <v>208</v>
      </c>
      <c r="C72" s="196">
        <v>-1173578</v>
      </c>
      <c r="D72" s="196">
        <v>-2985347</v>
      </c>
      <c r="F72" s="12" t="e">
        <f>IF(_XLL.EVPRO(#REF!,#REF!,"HLEVEL")="4",F71+1,F71)</f>
        <v>#NAME?</v>
      </c>
      <c r="G72" s="12" t="e">
        <f>IF(_XLL.EVPRO(#REF!,B72,"HLEVEL")="4",G71+1,G71)</f>
        <v>#NAME?</v>
      </c>
      <c r="H72" s="186" t="s">
        <v>202</v>
      </c>
      <c r="I72" s="12" t="e">
        <f>IF(_XLL.EVPRO(#REF!,#REF!,"HLEVEL")="5",IF(I71+1=3,1,I71+1),I71)</f>
        <v>#NAME?</v>
      </c>
      <c r="J72" s="12" t="e">
        <f>IF(_XLL.EVPRO(#REF!,B72,"HLEVEL")="5",IF(J71+1=3,1,J71+1),J71)</f>
        <v>#NAME?</v>
      </c>
      <c r="K72" s="194">
        <v>0</v>
      </c>
    </row>
    <row r="73" spans="2:11" ht="25.5">
      <c r="B73" s="37" t="s">
        <v>209</v>
      </c>
      <c r="C73" s="16">
        <f>C74+C92</f>
        <v>-16083381</v>
      </c>
      <c r="D73" s="106">
        <f>D74+D92</f>
        <v>-299030</v>
      </c>
      <c r="E73" s="4" t="s">
        <v>416</v>
      </c>
      <c r="F73" s="16">
        <v>2</v>
      </c>
      <c r="G73" s="16">
        <v>0</v>
      </c>
      <c r="H73" s="186" t="s">
        <v>203</v>
      </c>
      <c r="I73" s="16">
        <v>2</v>
      </c>
      <c r="J73" s="16">
        <v>0</v>
      </c>
      <c r="K73" s="194">
        <v>0</v>
      </c>
    </row>
    <row r="74" spans="2:11" ht="25.5">
      <c r="B74" s="38" t="s">
        <v>210</v>
      </c>
      <c r="C74" s="16">
        <f>SUM(C75:C91)</f>
        <v>22936722</v>
      </c>
      <c r="D74" s="106">
        <f>SUM(D75:D91)</f>
        <v>9447997</v>
      </c>
      <c r="E74" s="4" t="s">
        <v>416</v>
      </c>
      <c r="F74" s="16">
        <v>2</v>
      </c>
      <c r="G74" s="16">
        <v>0</v>
      </c>
      <c r="H74" s="186" t="s">
        <v>204</v>
      </c>
      <c r="I74" s="16">
        <v>1</v>
      </c>
      <c r="J74" s="16">
        <v>0</v>
      </c>
      <c r="K74" s="194">
        <v>0</v>
      </c>
    </row>
    <row r="75" spans="2:11" ht="25.5">
      <c r="B75" s="97" t="s">
        <v>211</v>
      </c>
      <c r="C75" s="196">
        <v>16774</v>
      </c>
      <c r="D75" s="196">
        <v>1650</v>
      </c>
      <c r="F75" s="12" t="e">
        <f>IF(_XLL.EVPRO(#REF!,#REF!,"HLEVEL")="4",F74+1,F74)</f>
        <v>#NAME?</v>
      </c>
      <c r="G75" s="12" t="e">
        <f>IF(_XLL.EVPRO(#REF!,B75,"HLEVEL")="4",G74+1,G74)</f>
        <v>#NAME?</v>
      </c>
      <c r="H75" s="186" t="s">
        <v>205</v>
      </c>
      <c r="I75" s="12" t="e">
        <f>IF(_XLL.EVPRO(#REF!,#REF!,"HLEVEL")="5",IF(I74+1=3,1,I74+1),I74)</f>
        <v>#NAME?</v>
      </c>
      <c r="J75" s="12" t="e">
        <f>IF(_XLL.EVPRO(#REF!,B75,"HLEVEL")="5",IF(J74+1=3,1,J74+1),J74)</f>
        <v>#NAME?</v>
      </c>
      <c r="K75" s="194">
        <v>0</v>
      </c>
    </row>
    <row r="76" spans="2:11" ht="15.75">
      <c r="B76" s="97" t="s">
        <v>212</v>
      </c>
      <c r="C76" s="196"/>
      <c r="D76" s="196"/>
      <c r="F76" s="12" t="e">
        <f>IF(_XLL.EVPRO(#REF!,#REF!,"HLEVEL")="4",F75+1,F75)</f>
        <v>#NAME?</v>
      </c>
      <c r="G76" s="12" t="e">
        <f>IF(_XLL.EVPRO(#REF!,B76,"HLEVEL")="4",G75+1,G75)</f>
        <v>#NAME?</v>
      </c>
      <c r="H76" s="185" t="s">
        <v>206</v>
      </c>
      <c r="I76" s="12" t="e">
        <f>IF(_XLL.EVPRO(#REF!,#REF!,"HLEVEL")="5",IF(I75+1=3,1,I75+1),I75)</f>
        <v>#NAME?</v>
      </c>
      <c r="J76" s="12" t="e">
        <f>IF(_XLL.EVPRO(#REF!,B76,"HLEVEL")="5",IF(J75+1=3,1,J75+1),J75)</f>
        <v>#NAME?</v>
      </c>
      <c r="K76" s="194">
        <v>-245112</v>
      </c>
    </row>
    <row r="77" spans="2:11" ht="15.75">
      <c r="B77" s="97" t="s">
        <v>213</v>
      </c>
      <c r="C77" s="196"/>
      <c r="D77" s="196"/>
      <c r="F77" s="12" t="e">
        <f>IF(_XLL.EVPRO(#REF!,#REF!,"HLEVEL")="4",F76+1,F76)</f>
        <v>#NAME?</v>
      </c>
      <c r="G77" s="12" t="e">
        <f>IF(_XLL.EVPRO(#REF!,B77,"HLEVEL")="4",G76+1,G76)</f>
        <v>#NAME?</v>
      </c>
      <c r="H77" s="185" t="s">
        <v>444</v>
      </c>
      <c r="I77" s="12" t="e">
        <f>IF(_XLL.EVPRO(#REF!,#REF!,"HLEVEL")="5",IF(I76+1=3,1,I76+1),I76)</f>
        <v>#NAME?</v>
      </c>
      <c r="J77" s="12" t="e">
        <f>IF(_XLL.EVPRO(#REF!,B77,"HLEVEL")="5",IF(J76+1=3,1,J76+1),J76)</f>
        <v>#NAME?</v>
      </c>
      <c r="K77" s="194">
        <v>0</v>
      </c>
    </row>
    <row r="78" spans="2:11" ht="15.75">
      <c r="B78" s="97" t="s">
        <v>214</v>
      </c>
      <c r="C78" s="196"/>
      <c r="D78" s="196"/>
      <c r="F78" s="12" t="e">
        <f>IF(_XLL.EVPRO(#REF!,#REF!,"HLEVEL")="4",F77+1,F77)</f>
        <v>#NAME?</v>
      </c>
      <c r="G78" s="12" t="e">
        <f>IF(_XLL.EVPRO(#REF!,B78,"HLEVEL")="4",G77+1,G77)</f>
        <v>#NAME?</v>
      </c>
      <c r="H78" s="189" t="s">
        <v>445</v>
      </c>
      <c r="I78" s="12" t="e">
        <f>IF(_XLL.EVPRO(#REF!,#REF!,"HLEVEL")="5",IF(I77+1=3,1,I77+1),I77)</f>
        <v>#NAME?</v>
      </c>
      <c r="J78" s="12" t="e">
        <f>IF(_XLL.EVPRO(#REF!,B78,"HLEVEL")="5",IF(J77+1=3,1,J77+1),J77)</f>
        <v>#NAME?</v>
      </c>
      <c r="K78" s="194">
        <v>0</v>
      </c>
    </row>
    <row r="79" spans="2:11" ht="30">
      <c r="B79" s="97" t="s">
        <v>215</v>
      </c>
      <c r="C79" s="196"/>
      <c r="D79" s="196"/>
      <c r="F79" s="12" t="e">
        <f>IF(_XLL.EVPRO(#REF!,#REF!,"HLEVEL")="4",F78+1,F78)</f>
        <v>#NAME?</v>
      </c>
      <c r="G79" s="12" t="e">
        <f>IF(_XLL.EVPRO(#REF!,B79,"HLEVEL")="4",G78+1,G78)</f>
        <v>#NAME?</v>
      </c>
      <c r="H79" s="187" t="s">
        <v>446</v>
      </c>
      <c r="I79" s="12" t="e">
        <f>IF(_XLL.EVPRO(#REF!,#REF!,"HLEVEL")="5",IF(I78+1=3,1,I78+1),I78)</f>
        <v>#NAME?</v>
      </c>
      <c r="J79" s="12" t="e">
        <f>IF(_XLL.EVPRO(#REF!,B79,"HLEVEL")="5",IF(J78+1=3,1,J78+1),J78)</f>
        <v>#NAME?</v>
      </c>
      <c r="K79" s="194">
        <v>-1173578</v>
      </c>
    </row>
    <row r="80" spans="2:11" ht="30">
      <c r="B80" s="97" t="s">
        <v>216</v>
      </c>
      <c r="C80" s="196"/>
      <c r="D80" s="196"/>
      <c r="F80" s="12" t="e">
        <f>IF(_XLL.EVPRO(#REF!,#REF!,"HLEVEL")="4",F79+1,F79)</f>
        <v>#NAME?</v>
      </c>
      <c r="G80" s="12" t="e">
        <f>IF(_XLL.EVPRO(#REF!,B80,"HLEVEL")="4",G79+1,G79)</f>
        <v>#NAME?</v>
      </c>
      <c r="H80" s="185" t="s">
        <v>447</v>
      </c>
      <c r="I80" s="12" t="e">
        <f>IF(_XLL.EVPRO(#REF!,#REF!,"HLEVEL")="5",IF(I79+1=3,1,I79+1),I79)</f>
        <v>#NAME?</v>
      </c>
      <c r="J80" s="12" t="e">
        <f>IF(_XLL.EVPRO(#REF!,B80,"HLEVEL")="5",IF(J79+1=3,1,J79+1),J79)</f>
        <v>#NAME?</v>
      </c>
      <c r="K80" s="194">
        <v>-271298</v>
      </c>
    </row>
    <row r="81" spans="2:11" ht="30">
      <c r="B81" s="97" t="s">
        <v>217</v>
      </c>
      <c r="C81" s="196"/>
      <c r="D81" s="196"/>
      <c r="F81" s="12" t="e">
        <f>IF(_XLL.EVPRO(#REF!,#REF!,"HLEVEL")="4",F80+1,F80)</f>
        <v>#NAME?</v>
      </c>
      <c r="G81" s="12" t="e">
        <f>IF(_XLL.EVPRO(#REF!,B81,"HLEVEL")="4",G80+1,G80)</f>
        <v>#NAME?</v>
      </c>
      <c r="H81" s="185" t="s">
        <v>448</v>
      </c>
      <c r="I81" s="12" t="e">
        <f>IF(_XLL.EVPRO(#REF!,#REF!,"HLEVEL")="5",IF(I80+1=3,1,I80+1),I80)</f>
        <v>#NAME?</v>
      </c>
      <c r="J81" s="12" t="e">
        <f>IF(_XLL.EVPRO(#REF!,B81,"HLEVEL")="5",IF(J80+1=3,1,J80+1),J80)</f>
        <v>#NAME?</v>
      </c>
      <c r="K81" s="194">
        <v>-15347</v>
      </c>
    </row>
    <row r="82" spans="2:11" ht="15.75">
      <c r="B82" s="97" t="s">
        <v>218</v>
      </c>
      <c r="C82" s="196"/>
      <c r="D82" s="196"/>
      <c r="F82" s="12" t="e">
        <f>IF(_XLL.EVPRO(#REF!,#REF!,"HLEVEL")="4",F81+1,F81)</f>
        <v>#NAME?</v>
      </c>
      <c r="G82" s="12" t="e">
        <f>IF(_XLL.EVPRO(#REF!,B82,"HLEVEL")="4",G81+1,G81)</f>
        <v>#NAME?</v>
      </c>
      <c r="H82" s="185" t="s">
        <v>449</v>
      </c>
      <c r="I82" s="12" t="e">
        <f>IF(_XLL.EVPRO(#REF!,#REF!,"HLEVEL")="5",IF(I81+1=3,1,I81+1),I81)</f>
        <v>#NAME?</v>
      </c>
      <c r="J82" s="12" t="e">
        <f>IF(_XLL.EVPRO(#REF!,B82,"HLEVEL")="5",IF(J81+1=3,1,J81+1),J81)</f>
        <v>#NAME?</v>
      </c>
      <c r="K82" s="194">
        <v>-2392</v>
      </c>
    </row>
    <row r="83" spans="2:11" ht="15.75">
      <c r="B83" s="97" t="s">
        <v>219</v>
      </c>
      <c r="C83" s="196">
        <v>21789597</v>
      </c>
      <c r="D83" s="196">
        <v>7416927</v>
      </c>
      <c r="F83" s="12" t="e">
        <f>IF(_XLL.EVPRO(#REF!,#REF!,"HLEVEL")="4",F82+1,F82)</f>
        <v>#NAME?</v>
      </c>
      <c r="G83" s="12" t="e">
        <f>IF(_XLL.EVPRO(#REF!,B83,"HLEVEL")="4",G82+1,G82)</f>
        <v>#NAME?</v>
      </c>
      <c r="H83" s="185" t="s">
        <v>450</v>
      </c>
      <c r="I83" s="12" t="e">
        <f>IF(_XLL.EVPRO(#REF!,#REF!,"HLEVEL")="5",IF(I82+1=3,1,I82+1),I82)</f>
        <v>#NAME?</v>
      </c>
      <c r="J83" s="12" t="e">
        <f>IF(_XLL.EVPRO(#REF!,B83,"HLEVEL")="5",IF(J82+1=3,1,J82+1),J82)</f>
        <v>#NAME?</v>
      </c>
      <c r="K83" s="194">
        <v>-72342</v>
      </c>
    </row>
    <row r="84" spans="2:11" ht="15.75">
      <c r="B84" s="97" t="s">
        <v>220</v>
      </c>
      <c r="C84" s="196"/>
      <c r="D84" s="196"/>
      <c r="F84" s="12" t="e">
        <f>IF(_XLL.EVPRO(#REF!,#REF!,"HLEVEL")="4",F83+1,F83)</f>
        <v>#NAME?</v>
      </c>
      <c r="G84" s="12" t="e">
        <f>IF(_XLL.EVPRO(#REF!,B84,"HLEVEL")="4",G83+1,G83)</f>
        <v>#NAME?</v>
      </c>
      <c r="H84" s="185" t="s">
        <v>451</v>
      </c>
      <c r="I84" s="12" t="e">
        <f>IF(_XLL.EVPRO(#REF!,#REF!,"HLEVEL")="5",IF(I83+1=3,1,I83+1),I83)</f>
        <v>#NAME?</v>
      </c>
      <c r="J84" s="12" t="e">
        <f>IF(_XLL.EVPRO(#REF!,B84,"HLEVEL")="5",IF(J83+1=3,1,J83+1),J83)</f>
        <v>#NAME?</v>
      </c>
      <c r="K84" s="194">
        <v>-22746</v>
      </c>
    </row>
    <row r="85" spans="2:11" ht="15.75">
      <c r="B85" s="97" t="s">
        <v>221</v>
      </c>
      <c r="C85" s="196"/>
      <c r="D85" s="196"/>
      <c r="F85" s="12" t="e">
        <f>IF(_XLL.EVPRO(#REF!,#REF!,"HLEVEL")="4",F84+1,F84)</f>
        <v>#NAME?</v>
      </c>
      <c r="G85" s="12" t="e">
        <f>IF(_XLL.EVPRO(#REF!,B85,"HLEVEL")="4",G84+1,G84)</f>
        <v>#NAME?</v>
      </c>
      <c r="H85" s="185" t="s">
        <v>452</v>
      </c>
      <c r="I85" s="12" t="e">
        <f>IF(_XLL.EVPRO(#REF!,#REF!,"HLEVEL")="5",IF(I84+1=3,1,I84+1),I84)</f>
        <v>#NAME?</v>
      </c>
      <c r="J85" s="12" t="e">
        <f>IF(_XLL.EVPRO(#REF!,B85,"HLEVEL")="5",IF(J84+1=3,1,J84+1),J84)</f>
        <v>#NAME?</v>
      </c>
      <c r="K85" s="194">
        <v>-254834</v>
      </c>
    </row>
    <row r="86" spans="2:11" ht="15.75">
      <c r="B86" s="97" t="s">
        <v>222</v>
      </c>
      <c r="C86" s="196"/>
      <c r="D86" s="196">
        <v>4401</v>
      </c>
      <c r="F86" s="12" t="e">
        <f>IF(_XLL.EVPRO(#REF!,#REF!,"HLEVEL")="4",F85+1,F85)</f>
        <v>#NAME?</v>
      </c>
      <c r="G86" s="12" t="e">
        <f>IF(_XLL.EVPRO(#REF!,B86,"HLEVEL")="4",G85+1,G85)</f>
        <v>#NAME?</v>
      </c>
      <c r="H86" s="185" t="s">
        <v>453</v>
      </c>
      <c r="I86" s="12" t="e">
        <f>IF(_XLL.EVPRO(#REF!,#REF!,"HLEVEL")="5",IF(I85+1=3,1,I85+1),I85)</f>
        <v>#NAME?</v>
      </c>
      <c r="J86" s="12" t="e">
        <f>IF(_XLL.EVPRO(#REF!,B86,"HLEVEL")="5",IF(J85+1=3,1,J85+1),J85)</f>
        <v>#NAME?</v>
      </c>
      <c r="K86" s="194">
        <v>-4560</v>
      </c>
    </row>
    <row r="87" spans="2:11" ht="15.75">
      <c r="B87" s="97" t="s">
        <v>223</v>
      </c>
      <c r="C87" s="196"/>
      <c r="D87" s="196"/>
      <c r="F87" s="12" t="e">
        <f>IF(_XLL.EVPRO(#REF!,#REF!,"HLEVEL")="4",F86+1,F86)</f>
        <v>#NAME?</v>
      </c>
      <c r="G87" s="12" t="e">
        <f>IF(_XLL.EVPRO(#REF!,B87,"HLEVEL")="4",G86+1,G86)</f>
        <v>#NAME?</v>
      </c>
      <c r="H87" s="185" t="s">
        <v>454</v>
      </c>
      <c r="I87" s="12" t="e">
        <f>IF(_XLL.EVPRO(#REF!,#REF!,"HLEVEL")="5",IF(I86+1=3,1,I86+1),I86)</f>
        <v>#NAME?</v>
      </c>
      <c r="J87" s="12" t="e">
        <f>IF(_XLL.EVPRO(#REF!,B87,"HLEVEL")="5",IF(J86+1=3,1,J86+1),J86)</f>
        <v>#NAME?</v>
      </c>
      <c r="K87" s="194">
        <v>-530059</v>
      </c>
    </row>
    <row r="88" spans="2:11" ht="15.75">
      <c r="B88" s="97" t="s">
        <v>224</v>
      </c>
      <c r="C88" s="196"/>
      <c r="D88" s="196">
        <v>1065600</v>
      </c>
      <c r="F88" s="12" t="e">
        <f>IF(_XLL.EVPRO(#REF!,#REF!,"HLEVEL")="4",F87+1,F87)</f>
        <v>#NAME?</v>
      </c>
      <c r="G88" s="12" t="e">
        <f>IF(_XLL.EVPRO(#REF!,B88,"HLEVEL")="4",G87+1,G87)</f>
        <v>#NAME?</v>
      </c>
      <c r="H88" s="185" t="s">
        <v>184</v>
      </c>
      <c r="I88" s="12" t="e">
        <f>IF(_XLL.EVPRO(#REF!,#REF!,"HLEVEL")="5",IF(I87+1=3,1,I87+1),I87)</f>
        <v>#NAME?</v>
      </c>
      <c r="J88" s="12" t="e">
        <f>IF(_XLL.EVPRO(#REF!,B88,"HLEVEL")="5",IF(J87+1=3,1,J87+1),J87)</f>
        <v>#NAME?</v>
      </c>
      <c r="K88" s="194">
        <v>0</v>
      </c>
    </row>
    <row r="89" spans="2:11" ht="15.75">
      <c r="B89" s="97" t="s">
        <v>225</v>
      </c>
      <c r="C89" s="196"/>
      <c r="D89" s="196"/>
      <c r="F89" s="12" t="e">
        <f>IF(_XLL.EVPRO(#REF!,#REF!,"HLEVEL")="4",F88+1,F88)</f>
        <v>#NAME?</v>
      </c>
      <c r="G89" s="12" t="e">
        <f>IF(_XLL.EVPRO(#REF!,B89,"HLEVEL")="4",G88+1,G88)</f>
        <v>#NAME?</v>
      </c>
      <c r="H89" s="185" t="s">
        <v>455</v>
      </c>
      <c r="I89" s="12" t="e">
        <f>IF(_XLL.EVPRO(#REF!,#REF!,"HLEVEL")="5",IF(I88+1=3,1,I88+1),I88)</f>
        <v>#NAME?</v>
      </c>
      <c r="J89" s="12" t="e">
        <f>IF(_XLL.EVPRO(#REF!,B89,"HLEVEL")="5",IF(J88+1=3,1,J88+1),J88)</f>
        <v>#NAME?</v>
      </c>
      <c r="K89" s="194">
        <v>0</v>
      </c>
    </row>
    <row r="90" spans="2:11" ht="15.75">
      <c r="B90" s="97" t="s">
        <v>226</v>
      </c>
      <c r="C90" s="196"/>
      <c r="D90" s="196"/>
      <c r="F90" s="12" t="e">
        <f>IF(_XLL.EVPRO(#REF!,#REF!,"HLEVEL")="4",F89+1,F89)</f>
        <v>#NAME?</v>
      </c>
      <c r="G90" s="12" t="e">
        <f>IF(_XLL.EVPRO(#REF!,B90,"HLEVEL")="4",G89+1,G89)</f>
        <v>#NAME?</v>
      </c>
      <c r="H90" s="190" t="s">
        <v>456</v>
      </c>
      <c r="I90" s="12" t="e">
        <f>IF(_XLL.EVPRO(#REF!,#REF!,"HLEVEL")="5",IF(I89+1=3,1,I89+1),I89)</f>
        <v>#NAME?</v>
      </c>
      <c r="J90" s="12" t="e">
        <f>IF(_XLL.EVPRO(#REF!,B90,"HLEVEL")="5",IF(J89+1=3,1,J89+1),J89)</f>
        <v>#NAME?</v>
      </c>
      <c r="K90" s="194">
        <v>-16083381</v>
      </c>
    </row>
    <row r="91" spans="2:11" ht="15.75">
      <c r="B91" s="97" t="s">
        <v>227</v>
      </c>
      <c r="C91" s="196">
        <v>1130351</v>
      </c>
      <c r="D91" s="196">
        <v>959419</v>
      </c>
      <c r="F91" s="12" t="e">
        <f>IF(_XLL.EVPRO(#REF!,#REF!,"HLEVEL")="4",F90+1,F90)</f>
        <v>#NAME?</v>
      </c>
      <c r="G91" s="12" t="e">
        <f>IF(_XLL.EVPRO(#REF!,B91,"HLEVEL")="4",G90+1,G90)</f>
        <v>#NAME?</v>
      </c>
      <c r="H91" s="184" t="s">
        <v>210</v>
      </c>
      <c r="I91" s="12" t="e">
        <f>IF(_XLL.EVPRO(#REF!,#REF!,"HLEVEL")="5",IF(I90+1=3,1,I90+1),I90)</f>
        <v>#NAME?</v>
      </c>
      <c r="J91" s="12" t="e">
        <f>IF(_XLL.EVPRO(#REF!,B91,"HLEVEL")="5",IF(J90+1=3,1,J90+1),J90)</f>
        <v>#NAME?</v>
      </c>
      <c r="K91" s="194">
        <v>22936722</v>
      </c>
    </row>
    <row r="92" spans="2:11" ht="15.75">
      <c r="B92" s="38" t="s">
        <v>228</v>
      </c>
      <c r="C92" s="16">
        <f>SUM(C93:C107)</f>
        <v>-39020103</v>
      </c>
      <c r="D92" s="106">
        <f>SUM(D93:D107)</f>
        <v>-9747027</v>
      </c>
      <c r="E92" s="4" t="s">
        <v>416</v>
      </c>
      <c r="F92" s="16">
        <v>2</v>
      </c>
      <c r="G92" s="16">
        <v>0</v>
      </c>
      <c r="H92" s="185" t="s">
        <v>457</v>
      </c>
      <c r="I92" s="16">
        <v>2</v>
      </c>
      <c r="J92" s="16">
        <v>0</v>
      </c>
      <c r="K92" s="194">
        <v>16774</v>
      </c>
    </row>
    <row r="93" spans="2:11" ht="15.75">
      <c r="B93" s="97" t="s">
        <v>229</v>
      </c>
      <c r="C93" s="196">
        <v>-2902592</v>
      </c>
      <c r="D93" s="196">
        <v>-198267</v>
      </c>
      <c r="F93" s="12" t="e">
        <f>IF(_XLL.EVPRO(#REF!,#REF!,"HLEVEL")="4",F92+1,F92)</f>
        <v>#NAME?</v>
      </c>
      <c r="G93" s="12" t="e">
        <f>IF(_XLL.EVPRO(#REF!,B93,"HLEVEL")="4",G92+1,G92)</f>
        <v>#NAME?</v>
      </c>
      <c r="H93" s="185" t="s">
        <v>212</v>
      </c>
      <c r="I93" s="12" t="e">
        <f>IF(_XLL.EVPRO(#REF!,#REF!,"HLEVEL")="5",IF(I92+1=3,1,I92+1),I92)</f>
        <v>#NAME?</v>
      </c>
      <c r="J93" s="12" t="e">
        <f>IF(_XLL.EVPRO(#REF!,B93,"HLEVEL")="5",IF(J92+1=3,1,J92+1),J92)</f>
        <v>#NAME?</v>
      </c>
      <c r="K93" s="194">
        <v>0</v>
      </c>
    </row>
    <row r="94" spans="2:11" ht="15.75">
      <c r="B94" s="97" t="s">
        <v>230</v>
      </c>
      <c r="C94" s="196">
        <v>-252</v>
      </c>
      <c r="D94" s="196">
        <v>-282</v>
      </c>
      <c r="F94" s="12" t="e">
        <f>IF(_XLL.EVPRO(#REF!,#REF!,"HLEVEL")="4",F93+1,F93)</f>
        <v>#NAME?</v>
      </c>
      <c r="G94" s="12" t="e">
        <f>IF(_XLL.EVPRO(#REF!,B94,"HLEVEL")="4",G93+1,G93)</f>
        <v>#NAME?</v>
      </c>
      <c r="H94" s="185" t="s">
        <v>213</v>
      </c>
      <c r="I94" s="12" t="e">
        <f>IF(_XLL.EVPRO(#REF!,#REF!,"HLEVEL")="5",IF(I93+1=3,1,I93+1),I93)</f>
        <v>#NAME?</v>
      </c>
      <c r="J94" s="12" t="e">
        <f>IF(_XLL.EVPRO(#REF!,B94,"HLEVEL")="5",IF(J93+1=3,1,J93+1),J93)</f>
        <v>#NAME?</v>
      </c>
      <c r="K94" s="194">
        <v>0</v>
      </c>
    </row>
    <row r="95" spans="2:11" ht="15.75">
      <c r="B95" s="97" t="s">
        <v>231</v>
      </c>
      <c r="C95" s="196">
        <v>-9370</v>
      </c>
      <c r="D95" s="196">
        <v>-180677</v>
      </c>
      <c r="F95" s="12" t="e">
        <f>IF(_XLL.EVPRO(#REF!,#REF!,"HLEVEL")="4",F94+1,F94)</f>
        <v>#NAME?</v>
      </c>
      <c r="G95" s="12" t="e">
        <f>IF(_XLL.EVPRO(#REF!,B95,"HLEVEL")="4",G94+1,G94)</f>
        <v>#NAME?</v>
      </c>
      <c r="H95" s="185" t="s">
        <v>214</v>
      </c>
      <c r="I95" s="12" t="e">
        <f>IF(_XLL.EVPRO(#REF!,#REF!,"HLEVEL")="5",IF(I94+1=3,1,I94+1),I94)</f>
        <v>#NAME?</v>
      </c>
      <c r="J95" s="12" t="e">
        <f>IF(_XLL.EVPRO(#REF!,B95,"HLEVEL")="5",IF(J94+1=3,1,J94+1),J94)</f>
        <v>#NAME?</v>
      </c>
      <c r="K95" s="194">
        <v>0</v>
      </c>
    </row>
    <row r="96" spans="2:11" ht="15.75">
      <c r="B96" s="97" t="s">
        <v>232</v>
      </c>
      <c r="C96" s="196"/>
      <c r="D96" s="196"/>
      <c r="F96" s="12" t="e">
        <f>IF(_XLL.EVPRO(#REF!,#REF!,"HLEVEL")="4",F95+1,F95)</f>
        <v>#NAME?</v>
      </c>
      <c r="G96" s="12" t="e">
        <f>IF(_XLL.EVPRO(#REF!,B96,"HLEVEL")="4",G95+1,G95)</f>
        <v>#NAME?</v>
      </c>
      <c r="H96" s="185" t="s">
        <v>215</v>
      </c>
      <c r="I96" s="12" t="e">
        <f>IF(_XLL.EVPRO(#REF!,#REF!,"HLEVEL")="5",IF(I95+1=3,1,I95+1),I95)</f>
        <v>#NAME?</v>
      </c>
      <c r="J96" s="12" t="e">
        <f>IF(_XLL.EVPRO(#REF!,B96,"HLEVEL")="5",IF(J95+1=3,1,J95+1),J95)</f>
        <v>#NAME?</v>
      </c>
      <c r="K96" s="194">
        <v>0</v>
      </c>
    </row>
    <row r="97" spans="2:11" ht="15.75">
      <c r="B97" s="97" t="s">
        <v>233</v>
      </c>
      <c r="C97" s="196"/>
      <c r="D97" s="196"/>
      <c r="F97" s="12" t="e">
        <f>IF(_XLL.EVPRO(#REF!,#REF!,"HLEVEL")="4",F96+1,F96)</f>
        <v>#NAME?</v>
      </c>
      <c r="G97" s="12" t="e">
        <f>IF(_XLL.EVPRO(#REF!,B97,"HLEVEL")="4",G96+1,G96)</f>
        <v>#NAME?</v>
      </c>
      <c r="H97" s="185" t="s">
        <v>216</v>
      </c>
      <c r="I97" s="12" t="e">
        <f>IF(_XLL.EVPRO(#REF!,#REF!,"HLEVEL")="5",IF(I96+1=3,1,I96+1),I96)</f>
        <v>#NAME?</v>
      </c>
      <c r="J97" s="12" t="e">
        <f>IF(_XLL.EVPRO(#REF!,B97,"HLEVEL")="5",IF(J96+1=3,1,J96+1),J96)</f>
        <v>#NAME?</v>
      </c>
      <c r="K97" s="194">
        <v>0</v>
      </c>
    </row>
    <row r="98" spans="2:11" ht="25.5">
      <c r="B98" s="97" t="s">
        <v>234</v>
      </c>
      <c r="C98" s="196"/>
      <c r="D98" s="196"/>
      <c r="F98" s="12" t="e">
        <f>IF(_XLL.EVPRO(#REF!,#REF!,"HLEVEL")="4",F97+1,F97)</f>
        <v>#NAME?</v>
      </c>
      <c r="G98" s="12" t="e">
        <f>IF(_XLL.EVPRO(#REF!,B98,"HLEVEL")="4",G97+1,G97)</f>
        <v>#NAME?</v>
      </c>
      <c r="H98" s="185" t="s">
        <v>217</v>
      </c>
      <c r="I98" s="12" t="e">
        <f>IF(_XLL.EVPRO(#REF!,#REF!,"HLEVEL")="5",IF(I97+1=3,1,I97+1),I97)</f>
        <v>#NAME?</v>
      </c>
      <c r="J98" s="12" t="e">
        <f>IF(_XLL.EVPRO(#REF!,B98,"HLEVEL")="5",IF(J97+1=3,1,J97+1),J97)</f>
        <v>#NAME?</v>
      </c>
      <c r="K98" s="194">
        <v>0</v>
      </c>
    </row>
    <row r="99" spans="2:11" ht="15.75">
      <c r="B99" s="97" t="s">
        <v>235</v>
      </c>
      <c r="C99" s="196"/>
      <c r="D99" s="196"/>
      <c r="F99" s="12" t="e">
        <f>IF(_XLL.EVPRO(#REF!,#REF!,"HLEVEL")="4",F98+1,F98)</f>
        <v>#NAME?</v>
      </c>
      <c r="G99" s="12" t="e">
        <f>IF(_XLL.EVPRO(#REF!,B99,"HLEVEL")="4",G98+1,G98)</f>
        <v>#NAME?</v>
      </c>
      <c r="H99" s="185" t="s">
        <v>458</v>
      </c>
      <c r="I99" s="12" t="e">
        <f>IF(_XLL.EVPRO(#REF!,#REF!,"HLEVEL")="5",IF(I98+1=3,1,I98+1),I98)</f>
        <v>#NAME?</v>
      </c>
      <c r="J99" s="12" t="e">
        <f>IF(_XLL.EVPRO(#REF!,B99,"HLEVEL")="5",IF(J98+1=3,1,J98+1),J98)</f>
        <v>#NAME?</v>
      </c>
      <c r="K99" s="194">
        <v>0</v>
      </c>
    </row>
    <row r="100" spans="2:11" ht="15.75">
      <c r="B100" s="97" t="s">
        <v>236</v>
      </c>
      <c r="C100" s="196"/>
      <c r="D100" s="196"/>
      <c r="F100" s="12" t="e">
        <f>IF(_XLL.EVPRO(#REF!,#REF!,"HLEVEL")="4",F99+1,F99)</f>
        <v>#NAME?</v>
      </c>
      <c r="G100" s="12" t="e">
        <f>IF(_XLL.EVPRO(#REF!,B100,"HLEVEL")="4",G99+1,G99)</f>
        <v>#NAME?</v>
      </c>
      <c r="H100" s="185" t="s">
        <v>219</v>
      </c>
      <c r="I100" s="12" t="e">
        <f>IF(_XLL.EVPRO(#REF!,#REF!,"HLEVEL")="5",IF(I99+1=3,1,I99+1),I99)</f>
        <v>#NAME?</v>
      </c>
      <c r="J100" s="12" t="e">
        <f>IF(_XLL.EVPRO(#REF!,B100,"HLEVEL")="5",IF(J99+1=3,1,J99+1),J99)</f>
        <v>#NAME?</v>
      </c>
      <c r="K100" s="194">
        <v>21789597</v>
      </c>
    </row>
    <row r="101" spans="2:11" ht="15.75">
      <c r="B101" s="97" t="s">
        <v>237</v>
      </c>
      <c r="C101" s="196">
        <v>-36107889</v>
      </c>
      <c r="D101" s="196">
        <v>-7466155</v>
      </c>
      <c r="F101" s="12" t="e">
        <f>IF(_XLL.EVPRO(#REF!,#REF!,"HLEVEL")="4",F100+1,F100)</f>
        <v>#NAME?</v>
      </c>
      <c r="G101" s="12" t="e">
        <f>IF(_XLL.EVPRO(#REF!,B101,"HLEVEL")="4",G100+1,G100)</f>
        <v>#NAME?</v>
      </c>
      <c r="H101" s="185" t="s">
        <v>220</v>
      </c>
      <c r="I101" s="12" t="e">
        <f>IF(_XLL.EVPRO(#REF!,#REF!,"HLEVEL")="5",IF(I100+1=3,1,I100+1),I100)</f>
        <v>#NAME?</v>
      </c>
      <c r="J101" s="12" t="e">
        <f>IF(_XLL.EVPRO(#REF!,B101,"HLEVEL")="5",IF(J100+1=3,1,J100+1),J100)</f>
        <v>#NAME?</v>
      </c>
      <c r="K101" s="194">
        <v>0</v>
      </c>
    </row>
    <row r="102" spans="2:11" ht="15.75">
      <c r="B102" s="97" t="s">
        <v>238</v>
      </c>
      <c r="C102" s="196"/>
      <c r="D102" s="196"/>
      <c r="F102" s="12" t="e">
        <f>IF(_XLL.EVPRO(#REF!,#REF!,"HLEVEL")="4",F101+1,F101)</f>
        <v>#NAME?</v>
      </c>
      <c r="G102" s="12" t="e">
        <f>IF(_XLL.EVPRO(#REF!,B102,"HLEVEL")="4",G101+1,G101)</f>
        <v>#NAME?</v>
      </c>
      <c r="H102" s="185" t="s">
        <v>221</v>
      </c>
      <c r="I102" s="12" t="e">
        <f>IF(_XLL.EVPRO(#REF!,#REF!,"HLEVEL")="5",IF(I101+1=3,1,I101+1),I101)</f>
        <v>#NAME?</v>
      </c>
      <c r="J102" s="12" t="e">
        <f>IF(_XLL.EVPRO(#REF!,B102,"HLEVEL")="5",IF(J101+1=3,1,J101+1),J101)</f>
        <v>#NAME?</v>
      </c>
      <c r="K102" s="194">
        <v>0</v>
      </c>
    </row>
    <row r="103" spans="2:11" ht="15.75">
      <c r="B103" s="97" t="s">
        <v>239</v>
      </c>
      <c r="C103" s="196"/>
      <c r="D103" s="196"/>
      <c r="F103" s="12" t="e">
        <f>IF(_XLL.EVPRO(#REF!,#REF!,"HLEVEL")="4",F102+1,F102)</f>
        <v>#NAME?</v>
      </c>
      <c r="G103" s="12" t="e">
        <f>IF(_XLL.EVPRO(#REF!,B103,"HLEVEL")="4",G102+1,G102)</f>
        <v>#NAME?</v>
      </c>
      <c r="H103" s="185" t="s">
        <v>222</v>
      </c>
      <c r="I103" s="12" t="e">
        <f>IF(_XLL.EVPRO(#REF!,#REF!,"HLEVEL")="5",IF(I102+1=3,1,I102+1),I102)</f>
        <v>#NAME?</v>
      </c>
      <c r="J103" s="12" t="e">
        <f>IF(_XLL.EVPRO(#REF!,B103,"HLEVEL")="5",IF(J102+1=3,1,J102+1),J102)</f>
        <v>#NAME?</v>
      </c>
      <c r="K103" s="194">
        <v>0</v>
      </c>
    </row>
    <row r="104" spans="2:11" ht="15.75">
      <c r="B104" s="97" t="s">
        <v>240</v>
      </c>
      <c r="C104" s="196"/>
      <c r="D104" s="196">
        <v>-1900000</v>
      </c>
      <c r="F104" s="12" t="e">
        <f>IF(_XLL.EVPRO(#REF!,#REF!,"HLEVEL")="4",F103+1,F103)</f>
        <v>#NAME?</v>
      </c>
      <c r="G104" s="12" t="e">
        <f>IF(_XLL.EVPRO(#REF!,B104,"HLEVEL")="4",G103+1,G103)</f>
        <v>#NAME?</v>
      </c>
      <c r="H104" s="185" t="s">
        <v>459</v>
      </c>
      <c r="I104" s="12" t="e">
        <f>IF(_XLL.EVPRO(#REF!,#REF!,"HLEVEL")="5",IF(I103+1=3,1,I103+1),I103)</f>
        <v>#NAME?</v>
      </c>
      <c r="J104" s="12" t="e">
        <f>IF(_XLL.EVPRO(#REF!,B104,"HLEVEL")="5",IF(J103+1=3,1,J103+1),J103)</f>
        <v>#NAME?</v>
      </c>
      <c r="K104" s="194">
        <v>0</v>
      </c>
    </row>
    <row r="105" spans="2:11" ht="15.75">
      <c r="B105" s="97" t="s">
        <v>241</v>
      </c>
      <c r="C105" s="196"/>
      <c r="D105" s="196"/>
      <c r="F105" s="12" t="e">
        <f>IF(_XLL.EVPRO(#REF!,#REF!,"HLEVEL")="4",F104+1,F104)</f>
        <v>#NAME?</v>
      </c>
      <c r="G105" s="12" t="e">
        <f>IF(_XLL.EVPRO(#REF!,B105,"HLEVEL")="4",G104+1,G104)</f>
        <v>#NAME?</v>
      </c>
      <c r="H105" s="185" t="s">
        <v>224</v>
      </c>
      <c r="I105" s="12" t="e">
        <f>IF(_XLL.EVPRO(#REF!,#REF!,"HLEVEL")="5",IF(I104+1=3,1,I104+1),I104)</f>
        <v>#NAME?</v>
      </c>
      <c r="J105" s="12" t="e">
        <f>IF(_XLL.EVPRO(#REF!,B105,"HLEVEL")="5",IF(J104+1=3,1,J104+1),J104)</f>
        <v>#NAME?</v>
      </c>
      <c r="K105" s="194">
        <v>0</v>
      </c>
    </row>
    <row r="106" spans="2:11" ht="30">
      <c r="B106" s="97" t="s">
        <v>242</v>
      </c>
      <c r="C106" s="196"/>
      <c r="D106" s="196"/>
      <c r="F106" s="12" t="e">
        <f>IF(_XLL.EVPRO(#REF!,#REF!,"HLEVEL")="4",F105+1,F105)</f>
        <v>#NAME?</v>
      </c>
      <c r="G106" s="12" t="e">
        <f>IF(_XLL.EVPRO(#REF!,B106,"HLEVEL")="4",G105+1,G105)</f>
        <v>#NAME?</v>
      </c>
      <c r="H106" s="185" t="s">
        <v>225</v>
      </c>
      <c r="I106" s="12" t="e">
        <f>IF(_XLL.EVPRO(#REF!,#REF!,"HLEVEL")="5",IF(I105+1=3,1,I105+1),I105)</f>
        <v>#NAME?</v>
      </c>
      <c r="J106" s="12" t="e">
        <f>IF(_XLL.EVPRO(#REF!,B106,"HLEVEL")="5",IF(J105+1=3,1,J105+1),J105)</f>
        <v>#NAME?</v>
      </c>
      <c r="K106" s="194">
        <v>0</v>
      </c>
    </row>
    <row r="107" spans="2:11" ht="25.5">
      <c r="B107" s="97" t="s">
        <v>243</v>
      </c>
      <c r="C107" s="196"/>
      <c r="D107" s="196">
        <v>-1646</v>
      </c>
      <c r="F107" s="12" t="e">
        <f>IF(_XLL.EVPRO(#REF!,#REF!,"HLEVEL")="4",F106+1,F106)</f>
        <v>#NAME?</v>
      </c>
      <c r="G107" s="12" t="e">
        <f>IF(_XLL.EVPRO(#REF!,B107,"HLEVEL")="4",G106+1,G106)</f>
        <v>#NAME?</v>
      </c>
      <c r="H107" s="185" t="s">
        <v>460</v>
      </c>
      <c r="I107" s="12" t="e">
        <f>IF(_XLL.EVPRO(#REF!,#REF!,"HLEVEL")="5",IF(I106+1=3,1,I106+1),I106)</f>
        <v>#NAME?</v>
      </c>
      <c r="J107" s="12" t="e">
        <f>IF(_XLL.EVPRO(#REF!,B107,"HLEVEL")="5",IF(J106+1=3,1,J106+1),J106)</f>
        <v>#NAME?</v>
      </c>
      <c r="K107" s="194">
        <v>0</v>
      </c>
    </row>
    <row r="108" spans="2:11" ht="15.75">
      <c r="B108" s="37" t="s">
        <v>244</v>
      </c>
      <c r="C108" s="16">
        <f>C109+C131</f>
        <v>475208</v>
      </c>
      <c r="D108" s="106">
        <f>D109+D131</f>
        <v>-36070</v>
      </c>
      <c r="F108" s="16">
        <v>3</v>
      </c>
      <c r="G108" s="16">
        <v>0</v>
      </c>
      <c r="H108" s="185" t="s">
        <v>227</v>
      </c>
      <c r="I108" s="16">
        <v>2</v>
      </c>
      <c r="J108" s="16">
        <v>0</v>
      </c>
      <c r="K108" s="194">
        <v>1130351</v>
      </c>
    </row>
    <row r="109" spans="2:11" ht="15.75">
      <c r="B109" s="38" t="s">
        <v>245</v>
      </c>
      <c r="C109" s="16">
        <f>C110+C116</f>
        <v>1006746</v>
      </c>
      <c r="D109" s="106">
        <f>D110+D116</f>
        <v>40641</v>
      </c>
      <c r="F109" s="16">
        <v>3</v>
      </c>
      <c r="G109" s="16">
        <v>0</v>
      </c>
      <c r="H109" s="184" t="s">
        <v>228</v>
      </c>
      <c r="I109" s="16">
        <v>1</v>
      </c>
      <c r="J109" s="16">
        <v>0</v>
      </c>
      <c r="K109" s="194">
        <v>-39020103</v>
      </c>
    </row>
    <row r="110" spans="2:11" ht="15.75">
      <c r="B110" s="39" t="s">
        <v>246</v>
      </c>
      <c r="C110" s="16">
        <f>SUM(C111:C115)</f>
        <v>0</v>
      </c>
      <c r="D110" s="106">
        <f>SUM(D111:D115)</f>
        <v>0</v>
      </c>
      <c r="F110" s="16">
        <v>3</v>
      </c>
      <c r="G110" s="16">
        <v>0</v>
      </c>
      <c r="H110" s="185" t="s">
        <v>461</v>
      </c>
      <c r="I110" s="16">
        <v>1</v>
      </c>
      <c r="J110" s="16">
        <v>0</v>
      </c>
      <c r="K110" s="194">
        <v>-2902592</v>
      </c>
    </row>
    <row r="111" spans="2:11" ht="15.75">
      <c r="B111" s="98" t="s">
        <v>247</v>
      </c>
      <c r="C111" s="196"/>
      <c r="D111" s="196"/>
      <c r="F111" s="12" t="e">
        <f>IF(_XLL.EVPRO(#REF!,#REF!,"HLEVEL")="4",F110+1,F110)</f>
        <v>#NAME?</v>
      </c>
      <c r="G111" s="12" t="e">
        <f>IF(_XLL.EVPRO(#REF!,B111,"HLEVEL")="4",G110+1,G110)</f>
        <v>#NAME?</v>
      </c>
      <c r="H111" s="185" t="s">
        <v>462</v>
      </c>
      <c r="I111" s="12" t="e">
        <f>IF(_XLL.EVPRO(#REF!,#REF!,"HLEVEL")="5",IF(I110+1=3,1,I110+1),I110)</f>
        <v>#NAME?</v>
      </c>
      <c r="J111" s="12" t="e">
        <f>IF(_XLL.EVPRO(#REF!,B111,"HLEVEL")="5",IF(J110+1=3,1,J110+1),J110)</f>
        <v>#NAME?</v>
      </c>
      <c r="K111" s="194"/>
    </row>
    <row r="112" spans="2:11" ht="15.75">
      <c r="B112" s="98" t="s">
        <v>248</v>
      </c>
      <c r="C112" s="196"/>
      <c r="D112" s="196"/>
      <c r="F112" s="12" t="e">
        <f>IF(_XLL.EVPRO(#REF!,#REF!,"HLEVEL")="4",F111+1,F111)</f>
        <v>#NAME?</v>
      </c>
      <c r="G112" s="12" t="e">
        <f>IF(_XLL.EVPRO(#REF!,B112,"HLEVEL")="4",G111+1,G111)</f>
        <v>#NAME?</v>
      </c>
      <c r="H112" s="185" t="s">
        <v>230</v>
      </c>
      <c r="I112" s="12" t="e">
        <f>IF(_XLL.EVPRO(#REF!,#REF!,"HLEVEL")="5",IF(I111+1=3,1,I111+1),I111)</f>
        <v>#NAME?</v>
      </c>
      <c r="J112" s="12" t="e">
        <f>IF(_XLL.EVPRO(#REF!,B112,"HLEVEL")="5",IF(J111+1=3,1,J111+1),J111)</f>
        <v>#NAME?</v>
      </c>
      <c r="K112" s="194">
        <v>-252</v>
      </c>
    </row>
    <row r="113" spans="2:11" ht="15.75">
      <c r="B113" s="98" t="s">
        <v>249</v>
      </c>
      <c r="C113" s="196"/>
      <c r="D113" s="196"/>
      <c r="F113" s="12" t="e">
        <f>IF(_XLL.EVPRO(#REF!,#REF!,"HLEVEL")="4",F112+1,F112)</f>
        <v>#NAME?</v>
      </c>
      <c r="G113" s="12" t="e">
        <f>IF(_XLL.EVPRO(#REF!,B113,"HLEVEL")="4",G112+1,G112)</f>
        <v>#NAME?</v>
      </c>
      <c r="H113" s="185" t="s">
        <v>231</v>
      </c>
      <c r="I113" s="12" t="e">
        <f>IF(_XLL.EVPRO(#REF!,#REF!,"HLEVEL")="5",IF(I112+1=3,1,I112+1),I112)</f>
        <v>#NAME?</v>
      </c>
      <c r="J113" s="12" t="e">
        <f>IF(_XLL.EVPRO(#REF!,B113,"HLEVEL")="5",IF(J112+1=3,1,J112+1),J112)</f>
        <v>#NAME?</v>
      </c>
      <c r="K113" s="194">
        <v>-9370</v>
      </c>
    </row>
    <row r="114" spans="2:11" ht="15.75">
      <c r="B114" s="98" t="s">
        <v>250</v>
      </c>
      <c r="C114" s="196"/>
      <c r="D114" s="196"/>
      <c r="F114" s="12" t="e">
        <f>IF(_XLL.EVPRO(#REF!,#REF!,"HLEVEL")="4",F113+1,F113)</f>
        <v>#NAME?</v>
      </c>
      <c r="G114" s="12" t="e">
        <f>IF(_XLL.EVPRO(#REF!,B114,"HLEVEL")="4",G113+1,G113)</f>
        <v>#NAME?</v>
      </c>
      <c r="H114" s="185" t="s">
        <v>232</v>
      </c>
      <c r="I114" s="12" t="e">
        <f>IF(_XLL.EVPRO(#REF!,#REF!,"HLEVEL")="5",IF(I113+1=3,1,I113+1),I113)</f>
        <v>#NAME?</v>
      </c>
      <c r="J114" s="12" t="e">
        <f>IF(_XLL.EVPRO(#REF!,B114,"HLEVEL")="5",IF(J113+1=3,1,J113+1),J113)</f>
        <v>#NAME?</v>
      </c>
      <c r="K114" s="194">
        <v>0</v>
      </c>
    </row>
    <row r="115" spans="2:11" ht="15.75">
      <c r="B115" s="98" t="s">
        <v>251</v>
      </c>
      <c r="C115" s="196"/>
      <c r="D115" s="196"/>
      <c r="F115" s="12" t="e">
        <f>IF(_XLL.EVPRO(#REF!,#REF!,"HLEVEL")="4",F114+1,F114)</f>
        <v>#NAME?</v>
      </c>
      <c r="G115" s="12" t="e">
        <f>IF(_XLL.EVPRO(#REF!,B115,"HLEVEL")="4",G114+1,G114)</f>
        <v>#NAME?</v>
      </c>
      <c r="H115" s="185" t="s">
        <v>233</v>
      </c>
      <c r="I115" s="12" t="e">
        <f>IF(_XLL.EVPRO(#REF!,#REF!,"HLEVEL")="5",IF(I114+1=3,1,I114+1),I114)</f>
        <v>#NAME?</v>
      </c>
      <c r="J115" s="12" t="e">
        <f>IF(_XLL.EVPRO(#REF!,B115,"HLEVEL")="5",IF(J114+1=3,1,J114+1),J114)</f>
        <v>#NAME?</v>
      </c>
      <c r="K115" s="194">
        <v>0</v>
      </c>
    </row>
    <row r="116" spans="2:11" ht="15.75">
      <c r="B116" s="39" t="s">
        <v>252</v>
      </c>
      <c r="C116" s="16">
        <f>SUM(C117:C130)</f>
        <v>1006746</v>
      </c>
      <c r="D116" s="106">
        <f>SUM(D117:D130)</f>
        <v>40641</v>
      </c>
      <c r="F116" s="16">
        <v>3</v>
      </c>
      <c r="G116" s="16">
        <v>0</v>
      </c>
      <c r="H116" s="185" t="s">
        <v>234</v>
      </c>
      <c r="I116" s="16">
        <v>1</v>
      </c>
      <c r="J116" s="16">
        <v>0</v>
      </c>
      <c r="K116" s="194">
        <v>0</v>
      </c>
    </row>
    <row r="117" spans="2:11" ht="15.75">
      <c r="B117" s="98" t="s">
        <v>247</v>
      </c>
      <c r="C117" s="196"/>
      <c r="D117" s="196"/>
      <c r="F117" s="12" t="e">
        <f>IF(_XLL.EVPRO(#REF!,#REF!,"HLEVEL")="4",F116+1,F116)</f>
        <v>#NAME?</v>
      </c>
      <c r="G117" s="12" t="e">
        <f>IF(_XLL.EVPRO(#REF!,B117,"HLEVEL")="4",G116+1,G116)</f>
        <v>#NAME?</v>
      </c>
      <c r="H117" s="185" t="s">
        <v>235</v>
      </c>
      <c r="I117" s="12" t="e">
        <f>IF(_XLL.EVPRO(#REF!,#REF!,"HLEVEL")="5",IF(I116+1=3,1,I116+1),I116)</f>
        <v>#NAME?</v>
      </c>
      <c r="J117" s="12" t="e">
        <f>IF(_XLL.EVPRO(#REF!,B117,"HLEVEL")="5",IF(J116+1=3,1,J116+1),J116)</f>
        <v>#NAME?</v>
      </c>
      <c r="K117" s="194">
        <v>0</v>
      </c>
    </row>
    <row r="118" spans="2:11" ht="15.75">
      <c r="B118" s="98" t="s">
        <v>248</v>
      </c>
      <c r="C118" s="196"/>
      <c r="D118" s="196"/>
      <c r="F118" s="12" t="e">
        <f>IF(_XLL.EVPRO(#REF!,#REF!,"HLEVEL")="4",F117+1,F117)</f>
        <v>#NAME?</v>
      </c>
      <c r="G118" s="12" t="e">
        <f>IF(_XLL.EVPRO(#REF!,B118,"HLEVEL")="4",G117+1,G117)</f>
        <v>#NAME?</v>
      </c>
      <c r="H118" s="185" t="s">
        <v>463</v>
      </c>
      <c r="I118" s="12" t="e">
        <f>IF(_XLL.EVPRO(#REF!,#REF!,"HLEVEL")="5",IF(I117+1=3,1,I117+1),I117)</f>
        <v>#NAME?</v>
      </c>
      <c r="J118" s="12" t="e">
        <f>IF(_XLL.EVPRO(#REF!,B118,"HLEVEL")="5",IF(J117+1=3,1,J117+1),J117)</f>
        <v>#NAME?</v>
      </c>
      <c r="K118" s="194">
        <v>0</v>
      </c>
    </row>
    <row r="119" spans="2:11" ht="15.75">
      <c r="B119" s="98" t="s">
        <v>249</v>
      </c>
      <c r="C119" s="196"/>
      <c r="D119" s="196"/>
      <c r="F119" s="12" t="e">
        <f>IF(_XLL.EVPRO(#REF!,#REF!,"HLEVEL")="4",F118+1,F118)</f>
        <v>#NAME?</v>
      </c>
      <c r="G119" s="12" t="e">
        <f>IF(_XLL.EVPRO(#REF!,B119,"HLEVEL")="4",G118+1,G118)</f>
        <v>#NAME?</v>
      </c>
      <c r="H119" s="185" t="s">
        <v>237</v>
      </c>
      <c r="I119" s="12" t="e">
        <f>IF(_XLL.EVPRO(#REF!,#REF!,"HLEVEL")="5",IF(I118+1=3,1,I118+1),I118)</f>
        <v>#NAME?</v>
      </c>
      <c r="J119" s="12" t="e">
        <f>IF(_XLL.EVPRO(#REF!,B119,"HLEVEL")="5",IF(J118+1=3,1,J118+1),J118)</f>
        <v>#NAME?</v>
      </c>
      <c r="K119" s="194">
        <v>-36107889</v>
      </c>
    </row>
    <row r="120" spans="2:11" ht="15.75">
      <c r="B120" s="98" t="s">
        <v>250</v>
      </c>
      <c r="C120" s="196"/>
      <c r="D120" s="196"/>
      <c r="F120" s="12" t="e">
        <f>IF(_XLL.EVPRO(#REF!,#REF!,"HLEVEL")="4",F119+1,F119)</f>
        <v>#NAME?</v>
      </c>
      <c r="G120" s="12" t="e">
        <f>IF(_XLL.EVPRO(#REF!,B120,"HLEVEL")="4",G119+1,G119)</f>
        <v>#NAME?</v>
      </c>
      <c r="H120" s="185" t="s">
        <v>238</v>
      </c>
      <c r="I120" s="12" t="e">
        <f>IF(_XLL.EVPRO(#REF!,#REF!,"HLEVEL")="5",IF(I119+1=3,1,I119+1),I119)</f>
        <v>#NAME?</v>
      </c>
      <c r="J120" s="12" t="e">
        <f>IF(_XLL.EVPRO(#REF!,B120,"HLEVEL")="5",IF(J119+1=3,1,J119+1),J119)</f>
        <v>#NAME?</v>
      </c>
      <c r="K120" s="194">
        <v>0</v>
      </c>
    </row>
    <row r="121" spans="2:11" ht="15.75">
      <c r="B121" s="98" t="s">
        <v>251</v>
      </c>
      <c r="C121" s="196"/>
      <c r="D121" s="196"/>
      <c r="F121" s="12" t="e">
        <f>IF(_XLL.EVPRO(#REF!,#REF!,"HLEVEL")="4",F120+1,F120)</f>
        <v>#NAME?</v>
      </c>
      <c r="G121" s="12" t="e">
        <f>IF(_XLL.EVPRO(#REF!,B121,"HLEVEL")="4",G120+1,G120)</f>
        <v>#NAME?</v>
      </c>
      <c r="H121" s="185" t="s">
        <v>239</v>
      </c>
      <c r="I121" s="12" t="e">
        <f>IF(_XLL.EVPRO(#REF!,#REF!,"HLEVEL")="5",IF(I120+1=3,1,I120+1),I120)</f>
        <v>#NAME?</v>
      </c>
      <c r="J121" s="12" t="e">
        <f>IF(_XLL.EVPRO(#REF!,B121,"HLEVEL")="5",IF(J120+1=3,1,J120+1),J120)</f>
        <v>#NAME?</v>
      </c>
      <c r="K121" s="194">
        <v>0</v>
      </c>
    </row>
    <row r="122" spans="2:11" ht="15.75">
      <c r="B122" s="97" t="s">
        <v>167</v>
      </c>
      <c r="C122" s="196">
        <v>1006746</v>
      </c>
      <c r="D122" s="196">
        <v>40641</v>
      </c>
      <c r="F122" s="12" t="e">
        <f>IF(_XLL.EVPRO(#REF!,#REF!,"HLEVEL")="4",F121+1,F121)</f>
        <v>#NAME?</v>
      </c>
      <c r="G122" s="12" t="e">
        <f>IF(_XLL.EVPRO(#REF!,B122,"HLEVEL")="4",G121+1,G121)</f>
        <v>#NAME?</v>
      </c>
      <c r="H122" s="185" t="s">
        <v>240</v>
      </c>
      <c r="I122" s="12" t="e">
        <f>IF(_XLL.EVPRO(#REF!,#REF!,"HLEVEL")="5",IF(I121+1=3,1,I121+1),I121)</f>
        <v>#NAME?</v>
      </c>
      <c r="J122" s="12" t="e">
        <f>IF(_XLL.EVPRO(#REF!,B122,"HLEVEL")="5",IF(J121+1=3,1,J121+1),J121)</f>
        <v>#NAME?</v>
      </c>
      <c r="K122" s="194">
        <v>0</v>
      </c>
    </row>
    <row r="123" spans="2:11" ht="15.75">
      <c r="B123" s="97" t="s">
        <v>168</v>
      </c>
      <c r="C123" s="196"/>
      <c r="D123" s="196"/>
      <c r="F123" s="12" t="e">
        <f>IF(_XLL.EVPRO(#REF!,#REF!,"HLEVEL")="4",F122+1,F122)</f>
        <v>#NAME?</v>
      </c>
      <c r="G123" s="12" t="e">
        <f>IF(_XLL.EVPRO(#REF!,B123,"HLEVEL")="4",G122+1,G122)</f>
        <v>#NAME?</v>
      </c>
      <c r="H123" s="185" t="s">
        <v>241</v>
      </c>
      <c r="I123" s="12" t="e">
        <f>IF(_XLL.EVPRO(#REF!,#REF!,"HLEVEL")="5",IF(I122+1=3,1,I122+1),I122)</f>
        <v>#NAME?</v>
      </c>
      <c r="J123" s="12" t="e">
        <f>IF(_XLL.EVPRO(#REF!,B123,"HLEVEL")="5",IF(J122+1=3,1,J122+1),J122)</f>
        <v>#NAME?</v>
      </c>
      <c r="K123" s="194">
        <v>0</v>
      </c>
    </row>
    <row r="124" spans="2:11" ht="25.5">
      <c r="B124" s="97" t="s">
        <v>253</v>
      </c>
      <c r="C124" s="196"/>
      <c r="D124" s="196"/>
      <c r="F124" s="12" t="e">
        <f>IF(_XLL.EVPRO(#REF!,#REF!,"HLEVEL")="4",F123+1,F123)</f>
        <v>#NAME?</v>
      </c>
      <c r="G124" s="12" t="e">
        <f>IF(_XLL.EVPRO(#REF!,B124,"HLEVEL")="4",G123+1,G123)</f>
        <v>#NAME?</v>
      </c>
      <c r="H124" s="185" t="s">
        <v>242</v>
      </c>
      <c r="I124" s="12" t="e">
        <f>IF(_XLL.EVPRO(#REF!,#REF!,"HLEVEL")="5",IF(I123+1=3,1,I123+1),I123)</f>
        <v>#NAME?</v>
      </c>
      <c r="J124" s="12" t="e">
        <f>IF(_XLL.EVPRO(#REF!,B124,"HLEVEL")="5",IF(J123+1=3,1,J123+1),J123)</f>
        <v>#NAME?</v>
      </c>
      <c r="K124" s="194">
        <v>0</v>
      </c>
    </row>
    <row r="125" spans="2:11" ht="15.75">
      <c r="B125" s="97" t="s">
        <v>169</v>
      </c>
      <c r="C125" s="196"/>
      <c r="D125" s="196"/>
      <c r="F125" s="12" t="e">
        <f>IF(_XLL.EVPRO(#REF!,#REF!,"HLEVEL")="4",F124+1,F124)</f>
        <v>#NAME?</v>
      </c>
      <c r="G125" s="12" t="e">
        <f>IF(_XLL.EVPRO(#REF!,B125,"HLEVEL")="4",G124+1,G124)</f>
        <v>#NAME?</v>
      </c>
      <c r="H125" s="185" t="s">
        <v>243</v>
      </c>
      <c r="I125" s="12" t="e">
        <f>IF(_XLL.EVPRO(#REF!,#REF!,"HLEVEL")="5",IF(I124+1=3,1,I124+1),I124)</f>
        <v>#NAME?</v>
      </c>
      <c r="J125" s="12" t="e">
        <f>IF(_XLL.EVPRO(#REF!,B125,"HLEVEL")="5",IF(J124+1=3,1,J124+1),J124)</f>
        <v>#NAME?</v>
      </c>
      <c r="K125" s="194">
        <v>0</v>
      </c>
    </row>
    <row r="126" spans="2:11" ht="15.75">
      <c r="B126" s="97" t="s">
        <v>170</v>
      </c>
      <c r="C126" s="196"/>
      <c r="D126" s="196"/>
      <c r="F126" s="12" t="e">
        <f>IF(_XLL.EVPRO(#REF!,#REF!,"HLEVEL")="4",F125+1,F125)</f>
        <v>#NAME?</v>
      </c>
      <c r="G126" s="12" t="e">
        <f>IF(_XLL.EVPRO(#REF!,B126,"HLEVEL")="4",G125+1,G125)</f>
        <v>#NAME?</v>
      </c>
      <c r="H126" s="191"/>
      <c r="I126" s="12" t="e">
        <f>IF(_XLL.EVPRO(#REF!,#REF!,"HLEVEL")="5",IF(I125+1=3,1,I125+1),I125)</f>
        <v>#NAME?</v>
      </c>
      <c r="J126" s="12" t="e">
        <f>IF(_XLL.EVPRO(#REF!,B126,"HLEVEL")="5",IF(J125+1=3,1,J125+1),J125)</f>
        <v>#NAME?</v>
      </c>
      <c r="K126" s="194"/>
    </row>
    <row r="127" spans="2:11" ht="15.75">
      <c r="B127" s="97" t="s">
        <v>171</v>
      </c>
      <c r="C127" s="196"/>
      <c r="D127" s="196"/>
      <c r="F127" s="12" t="e">
        <f>IF(_XLL.EVPRO(#REF!,#REF!,"HLEVEL")="4",F126+1,F126)</f>
        <v>#NAME?</v>
      </c>
      <c r="G127" s="12" t="e">
        <f>IF(_XLL.EVPRO(#REF!,B127,"HLEVEL")="4",G126+1,G126)</f>
        <v>#NAME?</v>
      </c>
      <c r="H127" s="190" t="s">
        <v>464</v>
      </c>
      <c r="I127" s="12" t="e">
        <f>IF(_XLL.EVPRO(#REF!,#REF!,"HLEVEL")="5",IF(I126+1=3,1,I126+1),I126)</f>
        <v>#NAME?</v>
      </c>
      <c r="J127" s="12" t="e">
        <f>IF(_XLL.EVPRO(#REF!,B127,"HLEVEL")="5",IF(J126+1=3,1,J126+1),J126)</f>
        <v>#NAME?</v>
      </c>
      <c r="K127" s="194">
        <v>475208</v>
      </c>
    </row>
    <row r="128" spans="2:11" ht="15.75">
      <c r="B128" s="97" t="s">
        <v>172</v>
      </c>
      <c r="C128" s="196"/>
      <c r="D128" s="196"/>
      <c r="F128" s="12" t="e">
        <f>IF(_XLL.EVPRO(#REF!,#REF!,"HLEVEL")="4",F127+1,F127)</f>
        <v>#NAME?</v>
      </c>
      <c r="G128" s="12" t="e">
        <f>IF(_XLL.EVPRO(#REF!,B128,"HLEVEL")="4",G127+1,G127)</f>
        <v>#NAME?</v>
      </c>
      <c r="H128" s="188" t="s">
        <v>245</v>
      </c>
      <c r="I128" s="12" t="e">
        <f>IF(_XLL.EVPRO(#REF!,#REF!,"HLEVEL")="5",IF(I127+1=3,1,I127+1),I127)</f>
        <v>#NAME?</v>
      </c>
      <c r="J128" s="12" t="e">
        <f>IF(_XLL.EVPRO(#REF!,B128,"HLEVEL")="5",IF(J127+1=3,1,J127+1),J127)</f>
        <v>#NAME?</v>
      </c>
      <c r="K128" s="194">
        <v>1006746</v>
      </c>
    </row>
    <row r="129" spans="2:11" ht="30">
      <c r="B129" s="97" t="s">
        <v>173</v>
      </c>
      <c r="C129" s="196"/>
      <c r="D129" s="196"/>
      <c r="F129" s="12" t="e">
        <f>IF(_XLL.EVPRO(#REF!,#REF!,"HLEVEL")="4",F128+1,F128)</f>
        <v>#NAME?</v>
      </c>
      <c r="G129" s="12" t="e">
        <f>IF(_XLL.EVPRO(#REF!,B129,"HLEVEL")="4",G128+1,G128)</f>
        <v>#NAME?</v>
      </c>
      <c r="H129" s="185" t="s">
        <v>465</v>
      </c>
      <c r="I129" s="12" t="e">
        <f>IF(_XLL.EVPRO(#REF!,#REF!,"HLEVEL")="5",IF(I128+1=3,1,I128+1),I128)</f>
        <v>#NAME?</v>
      </c>
      <c r="J129" s="12" t="e">
        <f>IF(_XLL.EVPRO(#REF!,B129,"HLEVEL")="5",IF(J128+1=3,1,J128+1),J128)</f>
        <v>#NAME?</v>
      </c>
      <c r="K129" s="194">
        <v>0</v>
      </c>
    </row>
    <row r="130" spans="2:11" ht="15.75">
      <c r="B130" s="97" t="s">
        <v>227</v>
      </c>
      <c r="C130" s="196"/>
      <c r="D130" s="196"/>
      <c r="F130" s="12" t="e">
        <f>IF(_XLL.EVPRO(#REF!,#REF!,"HLEVEL")="4",F129+1,F129)</f>
        <v>#NAME?</v>
      </c>
      <c r="G130" s="12" t="e">
        <f>IF(_XLL.EVPRO(#REF!,B130,"HLEVEL")="4",G129+1,G129)</f>
        <v>#NAME?</v>
      </c>
      <c r="H130" s="192" t="s">
        <v>247</v>
      </c>
      <c r="I130" s="12" t="e">
        <f>IF(_XLL.EVPRO(#REF!,#REF!,"HLEVEL")="5",IF(I129+1=3,1,I129+1),I129)</f>
        <v>#NAME?</v>
      </c>
      <c r="J130" s="12" t="e">
        <f>IF(_XLL.EVPRO(#REF!,B130,"HLEVEL")="5",IF(J129+1=3,1,J129+1),J129)</f>
        <v>#NAME?</v>
      </c>
      <c r="K130" s="194">
        <v>0</v>
      </c>
    </row>
    <row r="131" spans="2:11" ht="15.75">
      <c r="B131" s="38" t="s">
        <v>254</v>
      </c>
      <c r="C131" s="16">
        <f>SUM(C132:C140)+C141</f>
        <v>-531538</v>
      </c>
      <c r="D131" s="106">
        <f>SUM(D132:D140)+D141</f>
        <v>-76711</v>
      </c>
      <c r="F131" s="16">
        <v>3</v>
      </c>
      <c r="G131" s="16">
        <v>0</v>
      </c>
      <c r="H131" s="192" t="s">
        <v>248</v>
      </c>
      <c r="I131" s="16">
        <v>2</v>
      </c>
      <c r="J131" s="16">
        <v>0</v>
      </c>
      <c r="K131" s="194">
        <v>0</v>
      </c>
    </row>
    <row r="132" spans="2:11" ht="15.75">
      <c r="B132" s="97" t="s">
        <v>255</v>
      </c>
      <c r="C132" s="196"/>
      <c r="D132" s="196"/>
      <c r="F132" s="12" t="e">
        <f>IF(_XLL.EVPRO(#REF!,#REF!,"HLEVEL")="4",F131+1,F131)</f>
        <v>#NAME?</v>
      </c>
      <c r="G132" s="12" t="e">
        <f>IF(_XLL.EVPRO(#REF!,B132,"HLEVEL")="4",G131+1,G131)</f>
        <v>#NAME?</v>
      </c>
      <c r="H132" s="192" t="s">
        <v>249</v>
      </c>
      <c r="I132" s="12" t="e">
        <f>IF(_XLL.EVPRO(#REF!,#REF!,"HLEVEL")="5",IF(I131+1=3,1,I131+1),I131)</f>
        <v>#NAME?</v>
      </c>
      <c r="J132" s="12" t="e">
        <f>IF(_XLL.EVPRO(#REF!,B132,"HLEVEL")="5",IF(J131+1=3,1,J131+1),J131)</f>
        <v>#NAME?</v>
      </c>
      <c r="K132" s="194">
        <v>0</v>
      </c>
    </row>
    <row r="133" spans="2:11" ht="15.75">
      <c r="B133" s="97" t="s">
        <v>199</v>
      </c>
      <c r="C133" s="196">
        <v>-413257</v>
      </c>
      <c r="D133" s="196"/>
      <c r="F133" s="12" t="e">
        <f>IF(_XLL.EVPRO(#REF!,#REF!,"HLEVEL")="4",F132+1,F132)</f>
        <v>#NAME?</v>
      </c>
      <c r="G133" s="12" t="e">
        <f>IF(_XLL.EVPRO(#REF!,B133,"HLEVEL")="4",G132+1,G132)</f>
        <v>#NAME?</v>
      </c>
      <c r="H133" s="192" t="s">
        <v>250</v>
      </c>
      <c r="I133" s="12" t="e">
        <f>IF(_XLL.EVPRO(#REF!,#REF!,"HLEVEL")="5",IF(I132+1=3,1,I132+1),I132)</f>
        <v>#NAME?</v>
      </c>
      <c r="J133" s="12" t="e">
        <f>IF(_XLL.EVPRO(#REF!,B133,"HLEVEL")="5",IF(J132+1=3,1,J132+1),J132)</f>
        <v>#NAME?</v>
      </c>
      <c r="K133" s="194">
        <v>0</v>
      </c>
    </row>
    <row r="134" spans="2:11" ht="15.75">
      <c r="B134" s="97" t="s">
        <v>200</v>
      </c>
      <c r="C134" s="196"/>
      <c r="D134" s="196"/>
      <c r="F134" s="12" t="e">
        <f>IF(_XLL.EVPRO(#REF!,#REF!,"HLEVEL")="4",F133+1,F133)</f>
        <v>#NAME?</v>
      </c>
      <c r="G134" s="12" t="e">
        <f>IF(_XLL.EVPRO(#REF!,B134,"HLEVEL")="4",G133+1,G133)</f>
        <v>#NAME?</v>
      </c>
      <c r="H134" s="192" t="s">
        <v>251</v>
      </c>
      <c r="I134" s="12" t="e">
        <f>IF(_XLL.EVPRO(#REF!,#REF!,"HLEVEL")="5",IF(I133+1=3,1,I133+1),I133)</f>
        <v>#NAME?</v>
      </c>
      <c r="J134" s="12" t="e">
        <f>IF(_XLL.EVPRO(#REF!,B134,"HLEVEL")="5",IF(J133+1=3,1,J133+1),J133)</f>
        <v>#NAME?</v>
      </c>
      <c r="K134" s="194">
        <v>0</v>
      </c>
    </row>
    <row r="135" spans="2:11" ht="15.75">
      <c r="B135" s="97" t="s">
        <v>205</v>
      </c>
      <c r="C135" s="196"/>
      <c r="D135" s="196"/>
      <c r="F135" s="12" t="e">
        <f>IF(_XLL.EVPRO(#REF!,#REF!,"HLEVEL")="4",F134+1,F134)</f>
        <v>#NAME?</v>
      </c>
      <c r="G135" s="12" t="e">
        <f>IF(_XLL.EVPRO(#REF!,B135,"HLEVEL")="4",G134+1,G134)</f>
        <v>#NAME?</v>
      </c>
      <c r="H135" s="185" t="s">
        <v>466</v>
      </c>
      <c r="I135" s="12" t="e">
        <f>IF(_XLL.EVPRO(#REF!,#REF!,"HLEVEL")="5",IF(I134+1=3,1,I134+1),I134)</f>
        <v>#NAME?</v>
      </c>
      <c r="J135" s="12" t="e">
        <f>IF(_XLL.EVPRO(#REF!,B135,"HLEVEL")="5",IF(J134+1=3,1,J134+1),J134)</f>
        <v>#NAME?</v>
      </c>
      <c r="K135" s="194">
        <v>0</v>
      </c>
    </row>
    <row r="136" spans="2:11" ht="15.75">
      <c r="B136" s="97" t="s">
        <v>256</v>
      </c>
      <c r="C136" s="196">
        <v>-64115</v>
      </c>
      <c r="D136" s="196">
        <v>-64115</v>
      </c>
      <c r="F136" s="12" t="e">
        <f>IF(_XLL.EVPRO(#REF!,#REF!,"HLEVEL")="4",F135+1,F135)</f>
        <v>#NAME?</v>
      </c>
      <c r="G136" s="12" t="e">
        <f>IF(_XLL.EVPRO(#REF!,B136,"HLEVEL")="4",G135+1,G135)</f>
        <v>#NAME?</v>
      </c>
      <c r="H136" s="192" t="s">
        <v>247</v>
      </c>
      <c r="I136" s="12" t="e">
        <f>IF(_XLL.EVPRO(#REF!,#REF!,"HLEVEL")="5",IF(I135+1=3,1,I135+1),I135)</f>
        <v>#NAME?</v>
      </c>
      <c r="J136" s="12" t="e">
        <f>IF(_XLL.EVPRO(#REF!,B136,"HLEVEL")="5",IF(J135+1=3,1,J135+1),J135)</f>
        <v>#NAME?</v>
      </c>
      <c r="K136" s="194">
        <v>0</v>
      </c>
    </row>
    <row r="137" spans="2:11" ht="15.75">
      <c r="B137" s="97" t="s">
        <v>201</v>
      </c>
      <c r="C137" s="196"/>
      <c r="D137" s="196"/>
      <c r="F137" s="12" t="e">
        <f>IF(_XLL.EVPRO(#REF!,#REF!,"HLEVEL")="4",F136+1,F136)</f>
        <v>#NAME?</v>
      </c>
      <c r="G137" s="12" t="e">
        <f>IF(_XLL.EVPRO(#REF!,B137,"HLEVEL")="4",G136+1,G136)</f>
        <v>#NAME?</v>
      </c>
      <c r="H137" s="192" t="s">
        <v>248</v>
      </c>
      <c r="I137" s="12" t="e">
        <f>IF(_XLL.EVPRO(#REF!,#REF!,"HLEVEL")="5",IF(I136+1=3,1,I136+1),I136)</f>
        <v>#NAME?</v>
      </c>
      <c r="J137" s="12" t="e">
        <f>IF(_XLL.EVPRO(#REF!,B137,"HLEVEL")="5",IF(J136+1=3,1,J136+1),J136)</f>
        <v>#NAME?</v>
      </c>
      <c r="K137" s="194">
        <v>0</v>
      </c>
    </row>
    <row r="138" spans="2:11" ht="15.75">
      <c r="B138" s="97" t="s">
        <v>202</v>
      </c>
      <c r="C138" s="196"/>
      <c r="D138" s="196"/>
      <c r="F138" s="12" t="e">
        <f>IF(_XLL.EVPRO(#REF!,#REF!,"HLEVEL")="4",F137+1,F137)</f>
        <v>#NAME?</v>
      </c>
      <c r="G138" s="12" t="e">
        <f>IF(_XLL.EVPRO(#REF!,B138,"HLEVEL")="4",G137+1,G137)</f>
        <v>#NAME?</v>
      </c>
      <c r="H138" s="192" t="s">
        <v>249</v>
      </c>
      <c r="I138" s="12" t="e">
        <f>IF(_XLL.EVPRO(#REF!,#REF!,"HLEVEL")="5",IF(I137+1=3,1,I137+1),I137)</f>
        <v>#NAME?</v>
      </c>
      <c r="J138" s="12" t="e">
        <f>IF(_XLL.EVPRO(#REF!,B138,"HLEVEL")="5",IF(J137+1=3,1,J137+1),J137)</f>
        <v>#NAME?</v>
      </c>
      <c r="K138" s="194">
        <v>0</v>
      </c>
    </row>
    <row r="139" spans="2:11" ht="15.75">
      <c r="B139" s="97" t="s">
        <v>203</v>
      </c>
      <c r="C139" s="196"/>
      <c r="D139" s="196"/>
      <c r="F139" s="12" t="e">
        <f>IF(_XLL.EVPRO(#REF!,#REF!,"HLEVEL")="4",F138+1,F138)</f>
        <v>#NAME?</v>
      </c>
      <c r="G139" s="12" t="e">
        <f>IF(_XLL.EVPRO(#REF!,B139,"HLEVEL")="4",G138+1,G138)</f>
        <v>#NAME?</v>
      </c>
      <c r="H139" s="192" t="s">
        <v>250</v>
      </c>
      <c r="I139" s="12" t="e">
        <f>IF(_XLL.EVPRO(#REF!,#REF!,"HLEVEL")="5",IF(I138+1=3,1,I138+1),I138)</f>
        <v>#NAME?</v>
      </c>
      <c r="J139" s="12" t="e">
        <f>IF(_XLL.EVPRO(#REF!,B139,"HLEVEL")="5",IF(J138+1=3,1,J138+1),J138)</f>
        <v>#NAME?</v>
      </c>
      <c r="K139" s="194">
        <v>0</v>
      </c>
    </row>
    <row r="140" spans="2:11" ht="30">
      <c r="B140" s="97" t="s">
        <v>204</v>
      </c>
      <c r="C140" s="196"/>
      <c r="D140" s="196"/>
      <c r="F140" s="12" t="e">
        <f>IF(_XLL.EVPRO(#REF!,#REF!,"HLEVEL")="4",F139+1,F139)</f>
        <v>#NAME?</v>
      </c>
      <c r="G140" s="12" t="e">
        <f>IF(_XLL.EVPRO(#REF!,B140,"HLEVEL")="4",G139+1,G139)</f>
        <v>#NAME?</v>
      </c>
      <c r="H140" s="192" t="s">
        <v>251</v>
      </c>
      <c r="I140" s="12" t="e">
        <f>IF(_XLL.EVPRO(#REF!,#REF!,"HLEVEL")="5",IF(I139+1=3,1,I139+1),I139)</f>
        <v>#NAME?</v>
      </c>
      <c r="J140" s="12" t="e">
        <f>IF(_XLL.EVPRO(#REF!,B140,"HLEVEL")="5",IF(J139+1=3,1,J139+1),J139)</f>
        <v>#NAME?</v>
      </c>
      <c r="K140" s="194">
        <v>0</v>
      </c>
    </row>
    <row r="141" spans="2:11" ht="15.75">
      <c r="B141" s="39" t="s">
        <v>257</v>
      </c>
      <c r="C141" s="16">
        <f>SUM(C142:C143)</f>
        <v>-54166</v>
      </c>
      <c r="D141" s="106">
        <f>SUM(D142:D143)</f>
        <v>-12596</v>
      </c>
      <c r="F141" s="16">
        <v>3</v>
      </c>
      <c r="G141" s="16">
        <v>0</v>
      </c>
      <c r="H141" s="185" t="s">
        <v>167</v>
      </c>
      <c r="I141" s="16">
        <v>2</v>
      </c>
      <c r="J141" s="16">
        <v>0</v>
      </c>
      <c r="K141" s="194">
        <v>1006746</v>
      </c>
    </row>
    <row r="142" spans="2:11" ht="15.75">
      <c r="B142" s="98" t="s">
        <v>258</v>
      </c>
      <c r="C142" s="196"/>
      <c r="D142" s="196"/>
      <c r="F142" s="12" t="e">
        <f>IF(_XLL.EVPRO(#REF!,#REF!,"HLEVEL")="4",F141+1,F141)</f>
        <v>#NAME?</v>
      </c>
      <c r="G142" s="12" t="e">
        <f>IF(_XLL.EVPRO(#REF!,B142,"HLEVEL")="4",G141+1,G141)</f>
        <v>#NAME?</v>
      </c>
      <c r="H142" s="185" t="s">
        <v>168</v>
      </c>
      <c r="I142" s="12" t="e">
        <f>IF(_XLL.EVPRO(#REF!,#REF!,"HLEVEL")="5",IF(I141+1=3,1,I141+1),I141)</f>
        <v>#NAME?</v>
      </c>
      <c r="J142" s="12" t="e">
        <f>IF(_XLL.EVPRO(#REF!,B142,"HLEVEL")="5",IF(J141+1=3,1,J141+1),J141)</f>
        <v>#NAME?</v>
      </c>
      <c r="K142" s="194">
        <v>0</v>
      </c>
    </row>
    <row r="143" spans="2:11" ht="15.75">
      <c r="B143" s="98" t="s">
        <v>259</v>
      </c>
      <c r="C143" s="196">
        <v>-54166</v>
      </c>
      <c r="D143" s="196">
        <v>-12596</v>
      </c>
      <c r="F143" s="12" t="e">
        <f>IF(_XLL.EVPRO(#REF!,#REF!,"HLEVEL")="4",F142+1,F142)</f>
        <v>#NAME?</v>
      </c>
      <c r="G143" s="12" t="e">
        <f>IF(_XLL.EVPRO(#REF!,B143,"HLEVEL")="4",G142+1,G142)</f>
        <v>#NAME?</v>
      </c>
      <c r="H143" s="185" t="s">
        <v>169</v>
      </c>
      <c r="I143" s="12" t="e">
        <f>IF(_XLL.EVPRO(#REF!,#REF!,"HLEVEL")="5",IF(I142+1=3,1,I142+1),I142)</f>
        <v>#NAME?</v>
      </c>
      <c r="J143" s="12" t="e">
        <f>IF(_XLL.EVPRO(#REF!,B143,"HLEVEL")="5",IF(J142+1=3,1,J142+1),J142)</f>
        <v>#NAME?</v>
      </c>
      <c r="K143" s="194">
        <v>0</v>
      </c>
    </row>
    <row r="144" spans="2:11" ht="15.75">
      <c r="B144" s="39" t="s">
        <v>243</v>
      </c>
      <c r="C144" s="16">
        <f>SUM(C145:C148)</f>
        <v>27136</v>
      </c>
      <c r="D144" s="106">
        <f>SUM(D145:D148)</f>
        <v>7831</v>
      </c>
      <c r="F144" s="16">
        <v>3</v>
      </c>
      <c r="G144" s="16">
        <v>0</v>
      </c>
      <c r="H144" s="185" t="s">
        <v>170</v>
      </c>
      <c r="I144" s="16">
        <v>2</v>
      </c>
      <c r="J144" s="16">
        <v>0</v>
      </c>
      <c r="K144" s="194">
        <v>0</v>
      </c>
    </row>
    <row r="145" spans="2:11" ht="15.75">
      <c r="B145" s="98" t="s">
        <v>260</v>
      </c>
      <c r="C145" s="196"/>
      <c r="D145" s="196"/>
      <c r="F145" s="12" t="e">
        <f>IF(_XLL.EVPRO(#REF!,#REF!,"HLEVEL")="4",F144+1,F144)</f>
        <v>#NAME?</v>
      </c>
      <c r="G145" s="12" t="e">
        <f>IF(_XLL.EVPRO(#REF!,B145,"HLEVEL")="4",G144+1,G144)</f>
        <v>#NAME?</v>
      </c>
      <c r="H145" s="185" t="s">
        <v>171</v>
      </c>
      <c r="I145" s="12" t="e">
        <f>IF(_XLL.EVPRO(#REF!,#REF!,"HLEVEL")="5",IF(I144+1=3,1,I144+1),I144)</f>
        <v>#NAME?</v>
      </c>
      <c r="J145" s="12" t="e">
        <f>IF(_XLL.EVPRO(#REF!,B145,"HLEVEL")="5",IF(J144+1=3,1,J144+1),J144)</f>
        <v>#NAME?</v>
      </c>
      <c r="K145" s="194">
        <v>0</v>
      </c>
    </row>
    <row r="146" spans="2:11" ht="15.75">
      <c r="B146" s="98" t="s">
        <v>261</v>
      </c>
      <c r="C146" s="196"/>
      <c r="D146" s="196"/>
      <c r="F146" s="12" t="e">
        <f>IF(_XLL.EVPRO(#REF!,#REF!,"HLEVEL")="4",F145+1,F145)</f>
        <v>#NAME?</v>
      </c>
      <c r="G146" s="12" t="e">
        <f>IF(_XLL.EVPRO(#REF!,B146,"HLEVEL")="4",G145+1,G145)</f>
        <v>#NAME?</v>
      </c>
      <c r="H146" s="185" t="s">
        <v>172</v>
      </c>
      <c r="I146" s="12" t="e">
        <f>IF(_XLL.EVPRO(#REF!,#REF!,"HLEVEL")="5",IF(I145+1=3,1,I145+1),I145)</f>
        <v>#NAME?</v>
      </c>
      <c r="J146" s="12" t="e">
        <f>IF(_XLL.EVPRO(#REF!,B146,"HLEVEL")="5",IF(J145+1=3,1,J145+1),J145)</f>
        <v>#NAME?</v>
      </c>
      <c r="K146" s="194">
        <v>0</v>
      </c>
    </row>
    <row r="147" spans="2:11" ht="25.5">
      <c r="B147" s="97" t="s">
        <v>243</v>
      </c>
      <c r="C147" s="196"/>
      <c r="D147" s="196"/>
      <c r="F147" s="12" t="e">
        <f>IF(_XLL.EVPRO(#REF!,#REF!,"HLEVEL")="4",F146+1,F146)</f>
        <v>#NAME?</v>
      </c>
      <c r="G147" s="12" t="e">
        <f>IF(_XLL.EVPRO(#REF!,B147,"HLEVEL")="4",G146+1,G146)</f>
        <v>#NAME?</v>
      </c>
      <c r="H147" s="185" t="s">
        <v>173</v>
      </c>
      <c r="I147" s="12" t="e">
        <f>IF(_XLL.EVPRO(#REF!,#REF!,"HLEVEL")="5",IF(I146+1=3,1,I146+1),I146)</f>
        <v>#NAME?</v>
      </c>
      <c r="J147" s="12" t="e">
        <f>IF(_XLL.EVPRO(#REF!,B147,"HLEVEL")="5",IF(J146+1=3,1,J146+1),J146)</f>
        <v>#NAME?</v>
      </c>
      <c r="K147" s="194">
        <v>0</v>
      </c>
    </row>
    <row r="148" spans="2:11" ht="30">
      <c r="B148" s="99" t="s">
        <v>262</v>
      </c>
      <c r="C148" s="196">
        <v>27136</v>
      </c>
      <c r="D148" s="196">
        <v>7831</v>
      </c>
      <c r="F148" s="12" t="e">
        <f>IF(_XLL.EVPRO(#REF!,#REF!,"HLEVEL")="4",F147+1,F147)</f>
        <v>#NAME?</v>
      </c>
      <c r="G148" s="12" t="e">
        <f>IF(_XLL.EVPRO(#REF!,B148,"HLEVEL")="4",G147+1,G147)</f>
        <v>#NAME?</v>
      </c>
      <c r="H148" s="185" t="s">
        <v>253</v>
      </c>
      <c r="I148" s="12" t="e">
        <f>IF(_XLL.EVPRO(#REF!,#REF!,"HLEVEL")="5",IF(I147+1=3,1,I147+1),I147)</f>
        <v>#NAME?</v>
      </c>
      <c r="J148" s="12" t="e">
        <f>IF(_XLL.EVPRO(#REF!,B148,"HLEVEL")="5",IF(J147+1=3,1,J147+1),J147)</f>
        <v>#NAME?</v>
      </c>
      <c r="K148" s="194">
        <v>0</v>
      </c>
    </row>
    <row r="149" spans="2:11" ht="15.75" hidden="1">
      <c r="B149" s="101"/>
      <c r="C149" s="197" t="s">
        <v>16</v>
      </c>
      <c r="D149" s="197" t="s">
        <v>16</v>
      </c>
      <c r="F149" s="32"/>
      <c r="G149" s="32"/>
      <c r="H149" s="185" t="s">
        <v>467</v>
      </c>
      <c r="I149" s="32"/>
      <c r="J149" s="32"/>
      <c r="K149" s="194">
        <v>0</v>
      </c>
    </row>
    <row r="150" spans="2:11" ht="15.75" hidden="1">
      <c r="B150" s="101"/>
      <c r="C150" s="197" t="s">
        <v>93</v>
      </c>
      <c r="D150" s="197" t="s">
        <v>95</v>
      </c>
      <c r="F150" s="32"/>
      <c r="G150" s="32"/>
      <c r="H150" s="184" t="s">
        <v>254</v>
      </c>
      <c r="I150" s="32"/>
      <c r="J150" s="32"/>
      <c r="K150" s="194">
        <v>-531538</v>
      </c>
    </row>
    <row r="151" spans="2:11" ht="15.75">
      <c r="B151" s="41" t="s">
        <v>264</v>
      </c>
      <c r="C151" s="198">
        <v>19186014</v>
      </c>
      <c r="D151" s="198">
        <v>10451088</v>
      </c>
      <c r="F151" s="40"/>
      <c r="G151" s="40"/>
      <c r="H151" s="185" t="s">
        <v>255</v>
      </c>
      <c r="I151" s="40"/>
      <c r="J151" s="40"/>
      <c r="K151" s="194">
        <v>0</v>
      </c>
    </row>
    <row r="152" spans="2:11" ht="15.75" customHeight="1">
      <c r="B152" s="41" t="s">
        <v>265</v>
      </c>
      <c r="C152" s="198">
        <f>C151+C11</f>
        <v>5940084</v>
      </c>
      <c r="D152" s="198">
        <f>D151+D11</f>
        <v>10421211</v>
      </c>
      <c r="F152" s="40"/>
      <c r="G152" s="40"/>
      <c r="H152" s="185" t="s">
        <v>199</v>
      </c>
      <c r="I152" s="40"/>
      <c r="J152" s="40"/>
      <c r="K152" s="194">
        <v>-413257</v>
      </c>
    </row>
    <row r="153" spans="3:11" s="159" customFormat="1" ht="15.75">
      <c r="C153" s="160"/>
      <c r="F153" s="161"/>
      <c r="G153" s="161"/>
      <c r="H153" s="185" t="s">
        <v>200</v>
      </c>
      <c r="I153" s="161"/>
      <c r="J153" s="161"/>
      <c r="K153" s="194">
        <v>0</v>
      </c>
    </row>
    <row r="154" spans="8:11" ht="25.5">
      <c r="H154" s="185" t="s">
        <v>205</v>
      </c>
      <c r="K154" s="194">
        <v>0</v>
      </c>
    </row>
    <row r="155" spans="2:11" ht="25.5" customHeight="1">
      <c r="B155" s="102" t="s">
        <v>409</v>
      </c>
      <c r="C155" s="103"/>
      <c r="D155" s="93"/>
      <c r="H155" s="185" t="s">
        <v>468</v>
      </c>
      <c r="K155" s="194">
        <v>-64115</v>
      </c>
    </row>
    <row r="156" spans="2:11" ht="23.25" customHeight="1">
      <c r="B156" s="102" t="s">
        <v>485</v>
      </c>
      <c r="C156" s="103"/>
      <c r="D156" s="93"/>
      <c r="H156" s="185" t="s">
        <v>201</v>
      </c>
      <c r="K156" s="194">
        <v>0</v>
      </c>
    </row>
    <row r="157" spans="2:11" ht="23.25" customHeight="1">
      <c r="B157" s="102"/>
      <c r="C157" s="103"/>
      <c r="D157" s="93"/>
      <c r="H157" s="185" t="s">
        <v>202</v>
      </c>
      <c r="K157" s="194">
        <v>0</v>
      </c>
    </row>
    <row r="158" spans="2:11" ht="25.5">
      <c r="B158" s="102" t="s">
        <v>478</v>
      </c>
      <c r="H158" s="185" t="s">
        <v>203</v>
      </c>
      <c r="K158" s="194">
        <v>0</v>
      </c>
    </row>
    <row r="159" spans="8:11" ht="25.5">
      <c r="H159" s="185" t="s">
        <v>204</v>
      </c>
      <c r="K159" s="194">
        <v>0</v>
      </c>
    </row>
    <row r="160" spans="2:11" ht="15.75">
      <c r="B160" s="4" t="s">
        <v>420</v>
      </c>
      <c r="H160" s="185" t="s">
        <v>469</v>
      </c>
      <c r="K160" s="194">
        <v>0</v>
      </c>
    </row>
    <row r="161" spans="8:11" ht="15.75">
      <c r="H161" s="185" t="s">
        <v>470</v>
      </c>
      <c r="K161" s="194">
        <v>0</v>
      </c>
    </row>
    <row r="162" spans="8:11" ht="15.75">
      <c r="H162" s="185" t="s">
        <v>471</v>
      </c>
      <c r="K162" s="194">
        <v>-54166</v>
      </c>
    </row>
    <row r="163" spans="8:11" ht="15.75">
      <c r="H163" s="185" t="s">
        <v>472</v>
      </c>
      <c r="K163" s="194">
        <v>0</v>
      </c>
    </row>
    <row r="164" spans="8:11" ht="15.75">
      <c r="H164" s="185" t="s">
        <v>470</v>
      </c>
      <c r="K164" s="194">
        <v>0</v>
      </c>
    </row>
    <row r="165" spans="8:11" ht="15.75">
      <c r="H165" s="185" t="s">
        <v>471</v>
      </c>
      <c r="K165" s="194">
        <v>0</v>
      </c>
    </row>
    <row r="166" spans="8:11" ht="15.75">
      <c r="H166" s="185" t="s">
        <v>473</v>
      </c>
      <c r="K166" s="194">
        <v>0</v>
      </c>
    </row>
    <row r="167" spans="8:11" ht="15.75">
      <c r="H167" s="193"/>
      <c r="K167" s="194">
        <v>0</v>
      </c>
    </row>
    <row r="168" spans="8:11" ht="15.75">
      <c r="H168" s="191"/>
      <c r="K168" s="194">
        <v>0</v>
      </c>
    </row>
    <row r="169" spans="2:11" ht="26.25">
      <c r="B169" s="42" t="s">
        <v>263</v>
      </c>
      <c r="C169" s="81">
        <f>C11+C151-C152</f>
        <v>0</v>
      </c>
      <c r="D169" s="81">
        <f>D11+D151-D152</f>
        <v>0</v>
      </c>
      <c r="H169" s="193" t="s">
        <v>474</v>
      </c>
      <c r="K169" s="194">
        <v>27136</v>
      </c>
    </row>
    <row r="170" spans="8:11" ht="15.75">
      <c r="H170" s="191"/>
      <c r="K170" s="194">
        <v>0</v>
      </c>
    </row>
    <row r="171" spans="8:11" ht="15.75">
      <c r="H171" s="190" t="s">
        <v>475</v>
      </c>
      <c r="K171" s="194">
        <v>-13245930</v>
      </c>
    </row>
    <row r="172" spans="8:11" ht="15.75">
      <c r="H172" s="190"/>
      <c r="K172" s="194">
        <v>0</v>
      </c>
    </row>
    <row r="173" spans="8:11" ht="15.75">
      <c r="H173" s="190" t="s">
        <v>476</v>
      </c>
      <c r="K173" s="194">
        <v>19186014</v>
      </c>
    </row>
    <row r="174" spans="8:11" ht="15.75">
      <c r="H174" s="190" t="s">
        <v>477</v>
      </c>
      <c r="K174" s="194">
        <v>5940084</v>
      </c>
    </row>
  </sheetData>
  <sheetProtection/>
  <printOptions/>
  <pageMargins left="1.0236220472440944" right="0.35433070866141736" top="0.6692913385826772" bottom="0.2755905511811024" header="0.1968503937007874" footer="0.15748031496062992"/>
  <pageSetup fitToHeight="2" fitToWidth="1" horizontalDpi="1200" verticalDpi="1200" orientation="portrait" paperSize="9" scale="57" r:id="rId3"/>
  <rowBreaks count="1" manualBreakCount="1">
    <brk id="72" max="3" man="1"/>
  </rowBreaks>
  <colBreaks count="1" manualBreakCount="1">
    <brk id="4" max="26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B297"/>
  <sheetViews>
    <sheetView tabSelected="1" zoomScale="82" zoomScaleNormal="82" zoomScaleSheetLayoutView="50" zoomScalePageLayoutView="0" workbookViewId="0" topLeftCell="L264">
      <selection activeCell="W293" sqref="W293"/>
    </sheetView>
  </sheetViews>
  <sheetFormatPr defaultColWidth="9.140625" defaultRowHeight="15" outlineLevelRow="1" outlineLevelCol="1"/>
  <cols>
    <col min="1" max="1" width="26.57421875" style="5" hidden="1" customWidth="1" outlineLevel="1"/>
    <col min="2" max="7" width="18.8515625" style="5" hidden="1" customWidth="1" outlineLevel="1"/>
    <col min="8" max="8" width="9.57421875" style="47" hidden="1" customWidth="1" outlineLevel="1"/>
    <col min="9" max="9" width="14.28125" style="5" hidden="1" customWidth="1" outlineLevel="1"/>
    <col min="10" max="10" width="14.57421875" style="5" hidden="1" customWidth="1" outlineLevel="1"/>
    <col min="11" max="11" width="16.421875" style="5" hidden="1" customWidth="1" outlineLevel="1"/>
    <col min="12" max="12" width="44.421875" style="5" customWidth="1" collapsed="1"/>
    <col min="13" max="13" width="14.7109375" style="5" customWidth="1"/>
    <col min="14" max="14" width="12.140625" style="5" customWidth="1"/>
    <col min="15" max="15" width="10.7109375" style="5" customWidth="1"/>
    <col min="16" max="16" width="15.8515625" style="5" customWidth="1"/>
    <col min="17" max="17" width="17.140625" style="5" customWidth="1"/>
    <col min="18" max="18" width="13.8515625" style="5" customWidth="1"/>
    <col min="19" max="19" width="13.7109375" style="5" customWidth="1"/>
    <col min="20" max="20" width="12.28125" style="5" customWidth="1"/>
    <col min="21" max="21" width="12.7109375" style="5" customWidth="1"/>
    <col min="22" max="22" width="12.8515625" style="5" customWidth="1"/>
    <col min="23" max="23" width="20.7109375" style="5" customWidth="1"/>
    <col min="24" max="24" width="17.00390625" style="5" customWidth="1"/>
    <col min="25" max="25" width="16.00390625" style="5" customWidth="1"/>
    <col min="26" max="26" width="17.28125" style="5" customWidth="1"/>
    <col min="27" max="28" width="20.7109375" style="82" customWidth="1"/>
    <col min="29" max="250" width="20.7109375" style="5" customWidth="1"/>
    <col min="251" max="16384" width="9.140625" style="5" customWidth="1"/>
  </cols>
  <sheetData>
    <row r="1" spans="1:6" ht="15" hidden="1" outlineLevel="1">
      <c r="A1" s="43" t="e">
        <f>_XLL.EVDRE($N$2,A4:B11,A15:E21)</f>
        <v>#NAME?</v>
      </c>
      <c r="B1" s="44" t="s">
        <v>0</v>
      </c>
      <c r="C1" s="45"/>
      <c r="D1" s="45"/>
      <c r="E1" s="45"/>
      <c r="F1" s="46"/>
    </row>
    <row r="2" spans="1:15" ht="15" hidden="1" outlineLevel="1">
      <c r="A2" s="5" t="e">
        <f>A1</f>
        <v>#NAME?</v>
      </c>
      <c r="M2" s="1" t="s">
        <v>1</v>
      </c>
      <c r="N2" s="49" t="s">
        <v>2</v>
      </c>
      <c r="O2" s="1"/>
    </row>
    <row r="3" spans="1:14" ht="15" hidden="1" outlineLevel="1">
      <c r="A3" s="50" t="s">
        <v>4</v>
      </c>
      <c r="B3" s="51" t="s">
        <v>5</v>
      </c>
      <c r="M3" s="1" t="s">
        <v>39</v>
      </c>
      <c r="N3" s="2" t="e">
        <f>_XLL.EVCVW($N$2,M3)</f>
        <v>#NAME?</v>
      </c>
    </row>
    <row r="4" spans="1:14" ht="15" hidden="1" outlineLevel="1">
      <c r="A4" s="7" t="s">
        <v>8</v>
      </c>
      <c r="B4" s="8" t="e">
        <f>_XLL.EVRNG(N3:N15)</f>
        <v>#NAME?</v>
      </c>
      <c r="C4" s="52" t="s">
        <v>107</v>
      </c>
      <c r="M4" s="1" t="s">
        <v>3</v>
      </c>
      <c r="N4" s="2" t="e">
        <f>_XLL.EVCVW($N$2,M4)</f>
        <v>#NAME?</v>
      </c>
    </row>
    <row r="5" spans="1:14" ht="15" hidden="1" outlineLevel="1">
      <c r="A5" s="7" t="s">
        <v>10</v>
      </c>
      <c r="B5" s="8" t="e">
        <f>_XLL.EVRNG(M172:W173,Y172:Z173)</f>
        <v>#NAME?</v>
      </c>
      <c r="C5" s="52" t="s">
        <v>107</v>
      </c>
      <c r="M5" s="1" t="s">
        <v>6</v>
      </c>
      <c r="N5" s="2" t="e">
        <f>_XLL.EVCVW($N$2,M5)</f>
        <v>#NAME?</v>
      </c>
    </row>
    <row r="6" spans="1:14" ht="15" hidden="1" outlineLevel="1">
      <c r="A6" s="7" t="s">
        <v>12</v>
      </c>
      <c r="B6" s="8" t="e">
        <f>_XLL.EVRNG(J175:K176,J177:K178,J179:K180,J181:K182,J183:K184,J185:K186,J187:K188,J189:K190,J191:K194,J195:K196,J197:K204,J205:K206,J207:K208,J209:K210,J211:K212,J213:K214,J215:K218,J219:K220,J221:K225,J226:K227)</f>
        <v>#NAME?</v>
      </c>
      <c r="C6" s="52" t="s">
        <v>107</v>
      </c>
      <c r="M6" s="1" t="s">
        <v>9</v>
      </c>
      <c r="N6" s="2" t="e">
        <f>_XLL.EVCVW($N$2,M6)</f>
        <v>#NAME?</v>
      </c>
    </row>
    <row r="7" spans="1:14" ht="15" hidden="1" outlineLevel="1">
      <c r="A7" s="7" t="s">
        <v>14</v>
      </c>
      <c r="B7" s="8"/>
      <c r="M7" s="1" t="s">
        <v>11</v>
      </c>
      <c r="N7" s="2" t="e">
        <f>_XLL.EVCVW($N$2,M7)</f>
        <v>#NAME?</v>
      </c>
    </row>
    <row r="8" spans="1:14" ht="15" hidden="1" outlineLevel="1">
      <c r="A8" s="7" t="s">
        <v>17</v>
      </c>
      <c r="B8" s="8"/>
      <c r="M8" s="1" t="s">
        <v>13</v>
      </c>
      <c r="N8" s="2" t="e">
        <f>_XLL.EVCVW($N$2,M8)</f>
        <v>#NAME?</v>
      </c>
    </row>
    <row r="9" spans="1:14" ht="15" hidden="1" outlineLevel="1">
      <c r="A9" s="7" t="s">
        <v>21</v>
      </c>
      <c r="B9" s="8" t="e">
        <f>_XLL.EVRNG($A$64:$F$93)</f>
        <v>#NAME?</v>
      </c>
      <c r="M9" s="1"/>
      <c r="N9" s="2"/>
    </row>
    <row r="10" spans="1:14" ht="15" hidden="1" outlineLevel="1">
      <c r="A10" s="7" t="s">
        <v>23</v>
      </c>
      <c r="B10" s="8" t="e">
        <f>_XLL.EVRNG($A$44:$B$60)</f>
        <v>#NAME?</v>
      </c>
      <c r="M10" s="1" t="s">
        <v>15</v>
      </c>
      <c r="N10" s="2" t="e">
        <f>_XLL.EVCVW($N$2,M10)</f>
        <v>#NAME?</v>
      </c>
    </row>
    <row r="11" spans="1:14" ht="15" hidden="1" outlineLevel="1">
      <c r="A11" s="7" t="s">
        <v>25</v>
      </c>
      <c r="B11" s="8"/>
      <c r="M11" s="1" t="s">
        <v>18</v>
      </c>
      <c r="N11" s="2" t="e">
        <f>_XLL.EVCVW($N$2,M11)</f>
        <v>#NAME?</v>
      </c>
    </row>
    <row r="12" spans="13:14" ht="15" hidden="1" outlineLevel="1">
      <c r="M12" s="1" t="s">
        <v>38</v>
      </c>
      <c r="N12" s="2" t="e">
        <f>_XLL.EVCVW($N$2,M12)</f>
        <v>#NAME?</v>
      </c>
    </row>
    <row r="13" spans="2:14" ht="15" hidden="1" outlineLevel="1">
      <c r="B13" s="48"/>
      <c r="C13" s="53"/>
      <c r="M13" s="1" t="s">
        <v>24</v>
      </c>
      <c r="N13" s="2" t="e">
        <f>_XLL.EVCVW($N$2,M13)</f>
        <v>#NAME?</v>
      </c>
    </row>
    <row r="14" spans="1:15" ht="15" hidden="1" outlineLevel="1">
      <c r="A14" s="54" t="s">
        <v>29</v>
      </c>
      <c r="B14" s="55" t="s">
        <v>30</v>
      </c>
      <c r="C14" s="55" t="s">
        <v>31</v>
      </c>
      <c r="D14" s="55" t="s">
        <v>32</v>
      </c>
      <c r="E14" s="55" t="s">
        <v>266</v>
      </c>
      <c r="H14" s="5"/>
      <c r="I14" s="47"/>
      <c r="M14" s="1" t="s">
        <v>26</v>
      </c>
      <c r="N14" s="2" t="e">
        <f>_XLL.EVCVW($N$2,M14)</f>
        <v>#NAME?</v>
      </c>
      <c r="O14" s="5" t="e">
        <f>_XLL.EVTIM(N2,N14,-1,"YEAR")</f>
        <v>#NAME?</v>
      </c>
    </row>
    <row r="15" spans="1:14" ht="15" hidden="1" outlineLevel="1">
      <c r="A15" s="13" t="s">
        <v>33</v>
      </c>
      <c r="B15" s="14" t="s">
        <v>35</v>
      </c>
      <c r="C15" s="14" t="s">
        <v>35</v>
      </c>
      <c r="D15" s="14" t="s">
        <v>34</v>
      </c>
      <c r="E15" s="14" t="s">
        <v>34</v>
      </c>
      <c r="H15" s="5"/>
      <c r="I15" s="47"/>
      <c r="M15" s="1" t="s">
        <v>22</v>
      </c>
      <c r="N15" s="2" t="e">
        <f>_XLL.EVCVW($N$2,M15)</f>
        <v>#NAME?</v>
      </c>
    </row>
    <row r="16" spans="1:13" ht="15" hidden="1" outlineLevel="1">
      <c r="A16" s="13" t="s">
        <v>37</v>
      </c>
      <c r="B16" s="14" t="s">
        <v>38</v>
      </c>
      <c r="C16" s="14" t="s">
        <v>15</v>
      </c>
      <c r="D16" s="14" t="s">
        <v>26</v>
      </c>
      <c r="E16" s="14" t="s">
        <v>39</v>
      </c>
      <c r="H16" s="5"/>
      <c r="I16" s="47"/>
      <c r="M16" s="48"/>
    </row>
    <row r="17" spans="1:13" ht="15" hidden="1" outlineLevel="1">
      <c r="A17" s="13" t="s">
        <v>41</v>
      </c>
      <c r="B17" s="11" t="str">
        <f>CONCATENATE(B22,B23,B24,B25,B26,B27,B28,B29,B30,B31,B32,B33,B34,B35,B36,B37,B38,B39,B40,B41)</f>
        <v>I_NONE|I_NONE|I_NONE|I_NONE|I_NONE|I_NONE|I_NONE|I_T|I_F0001|I_NONE|I_NONE|I_NONE|I_F0001|I_NONE|I_NONE|I_T|I_F0001|I_NONE|I_NONE|I_NONE</v>
      </c>
      <c r="C17" s="11" t="str">
        <f>CONCATENATE(C22,C23,C24,C25,C26,C27,C28,C29,C30,C31,C32,C33,C34,C35,C36,C37,C38,C39,C40,C41)</f>
        <v>F_OPE|M1_04_01|M1_04_02|M1_04_03|M1_04_04|M1_04_05|M1_04_06|M1_04_07|M1_04_07_001,M1_04_07_002,M1_04_07_003,M1_04_07_004|M1_04_07_099|M1_04_08,M1_04_09,M1_04_10,M1_04_11,M1_04_12,M1_04_13,M1_04_14,M1_04_15|M1_04_16|M1_04_17|M1_04_18|M1_04_19|M1_04_20|M1_04_20_001,M1_04_20_002,M1_04_20_003,M1_04_20_004|M1_04_20_099|M1_04_21,M1_04_22,M1_04_23,M1_04_24,M1_04_25|F_CLO</v>
      </c>
      <c r="D17" s="11" t="e">
        <f>$N$14</f>
        <v>#NAME?</v>
      </c>
      <c r="E17" s="14" t="s">
        <v>267</v>
      </c>
      <c r="H17" s="52" t="s">
        <v>107</v>
      </c>
      <c r="I17" s="47"/>
      <c r="M17" s="48"/>
    </row>
    <row r="18" spans="1:13" ht="15" hidden="1" outlineLevel="1">
      <c r="A18" s="13" t="s">
        <v>42</v>
      </c>
      <c r="B18" s="14"/>
      <c r="C18" s="14"/>
      <c r="D18" s="14"/>
      <c r="E18" s="14"/>
      <c r="H18" s="5"/>
      <c r="I18" s="47"/>
      <c r="M18" s="48"/>
    </row>
    <row r="19" spans="1:13" ht="15" hidden="1" outlineLevel="1">
      <c r="A19" s="13" t="s">
        <v>43</v>
      </c>
      <c r="B19" s="14"/>
      <c r="C19" s="14"/>
      <c r="D19" s="14"/>
      <c r="E19" s="14"/>
      <c r="H19" s="5"/>
      <c r="I19" s="47"/>
      <c r="M19" s="48"/>
    </row>
    <row r="20" spans="1:13" ht="15" hidden="1" outlineLevel="1">
      <c r="A20" s="13" t="s">
        <v>44</v>
      </c>
      <c r="B20" s="14"/>
      <c r="C20" s="14"/>
      <c r="D20" s="14"/>
      <c r="E20" s="14"/>
      <c r="H20" s="5"/>
      <c r="I20" s="47"/>
      <c r="M20" s="48"/>
    </row>
    <row r="21" spans="1:13" ht="15" hidden="1" outlineLevel="1">
      <c r="A21" s="13" t="s">
        <v>45</v>
      </c>
      <c r="B21" s="14"/>
      <c r="C21" s="14"/>
      <c r="D21" s="14"/>
      <c r="E21" s="14"/>
      <c r="H21" s="5"/>
      <c r="I21" s="47"/>
      <c r="M21" s="48"/>
    </row>
    <row r="22" spans="2:3" ht="15" hidden="1" outlineLevel="1">
      <c r="B22" s="5" t="str">
        <f>"I_NONE"</f>
        <v>I_NONE</v>
      </c>
      <c r="C22" s="5" t="str">
        <f>"F_OPE"</f>
        <v>F_OPE</v>
      </c>
    </row>
    <row r="23" spans="2:3" ht="15" hidden="1" outlineLevel="1">
      <c r="B23" s="5" t="str">
        <f aca="true" t="shared" si="0" ref="B23:B28">"|I_NONE"</f>
        <v>|I_NONE</v>
      </c>
      <c r="C23" s="5" t="str">
        <f>"|M1_04_01"</f>
        <v>|M1_04_01</v>
      </c>
    </row>
    <row r="24" spans="2:3" ht="15" hidden="1" outlineLevel="1">
      <c r="B24" s="5" t="str">
        <f t="shared" si="0"/>
        <v>|I_NONE</v>
      </c>
      <c r="C24" s="5" t="str">
        <f>"|M1_04_02"</f>
        <v>|M1_04_02</v>
      </c>
    </row>
    <row r="25" spans="2:3" ht="15" hidden="1" outlineLevel="1">
      <c r="B25" s="5" t="str">
        <f t="shared" si="0"/>
        <v>|I_NONE</v>
      </c>
      <c r="C25" s="5" t="str">
        <f>"|M1_04_03"</f>
        <v>|M1_04_03</v>
      </c>
    </row>
    <row r="26" spans="2:3" ht="15" hidden="1" outlineLevel="1">
      <c r="B26" s="5" t="str">
        <f t="shared" si="0"/>
        <v>|I_NONE</v>
      </c>
      <c r="C26" s="5" t="str">
        <f>"|M1_04_04"</f>
        <v>|M1_04_04</v>
      </c>
    </row>
    <row r="27" spans="2:3" ht="15" hidden="1" outlineLevel="1">
      <c r="B27" s="5" t="str">
        <f t="shared" si="0"/>
        <v>|I_NONE</v>
      </c>
      <c r="C27" s="5" t="str">
        <f>"|M1_04_05"</f>
        <v>|M1_04_05</v>
      </c>
    </row>
    <row r="28" spans="2:3" ht="15" hidden="1" outlineLevel="1">
      <c r="B28" s="5" t="str">
        <f t="shared" si="0"/>
        <v>|I_NONE</v>
      </c>
      <c r="C28" s="5" t="str">
        <f>"|M1_04_06"</f>
        <v>|M1_04_06</v>
      </c>
    </row>
    <row r="29" spans="2:3" ht="15" hidden="1" outlineLevel="1">
      <c r="B29" s="5" t="str">
        <f>"|I_T"</f>
        <v>|I_T</v>
      </c>
      <c r="C29" s="5" t="str">
        <f>"|M1_04_07"</f>
        <v>|M1_04_07</v>
      </c>
    </row>
    <row r="30" spans="2:3" ht="15" hidden="1" outlineLevel="1">
      <c r="B30" s="5" t="str">
        <f>"|I_F0001"</f>
        <v>|I_F0001</v>
      </c>
      <c r="C30" s="5" t="str">
        <f>"|M1_04_07_001,M1_04_07_002,M1_04_07_003,M1_04_07_004"</f>
        <v>|M1_04_07_001,M1_04_07_002,M1_04_07_003,M1_04_07_004</v>
      </c>
    </row>
    <row r="31" spans="2:3" ht="15" hidden="1" outlineLevel="1">
      <c r="B31" s="5" t="str">
        <f aca="true" t="shared" si="1" ref="B31:B41">"|I_NONE"</f>
        <v>|I_NONE</v>
      </c>
      <c r="C31" s="5" t="str">
        <f>"|M1_04_07_099"</f>
        <v>|M1_04_07_099</v>
      </c>
    </row>
    <row r="32" spans="2:3" ht="15" hidden="1" outlineLevel="1">
      <c r="B32" s="5" t="str">
        <f t="shared" si="1"/>
        <v>|I_NONE</v>
      </c>
      <c r="C32" s="5" t="str">
        <f>"|M1_04_08,M1_04_09,M1_04_10,M1_04_11,M1_04_12,M1_04_13,M1_04_14,M1_04_15"</f>
        <v>|M1_04_08,M1_04_09,M1_04_10,M1_04_11,M1_04_12,M1_04_13,M1_04_14,M1_04_15</v>
      </c>
    </row>
    <row r="33" spans="2:3" ht="15" hidden="1" outlineLevel="1">
      <c r="B33" s="5" t="str">
        <f t="shared" si="1"/>
        <v>|I_NONE</v>
      </c>
      <c r="C33" s="5" t="str">
        <f>"|M1_04_16"</f>
        <v>|M1_04_16</v>
      </c>
    </row>
    <row r="34" spans="2:3" ht="15" hidden="1" outlineLevel="1">
      <c r="B34" s="5" t="str">
        <f>"|I_F0001"</f>
        <v>|I_F0001</v>
      </c>
      <c r="C34" s="5" t="str">
        <f>"|M1_04_17"</f>
        <v>|M1_04_17</v>
      </c>
    </row>
    <row r="35" spans="2:3" ht="15" hidden="1" outlineLevel="1">
      <c r="B35" s="5" t="str">
        <f t="shared" si="1"/>
        <v>|I_NONE</v>
      </c>
      <c r="C35" s="5" t="str">
        <f>"|M1_04_18"</f>
        <v>|M1_04_18</v>
      </c>
    </row>
    <row r="36" spans="2:3" ht="15" hidden="1" outlineLevel="1">
      <c r="B36" s="5" t="str">
        <f t="shared" si="1"/>
        <v>|I_NONE</v>
      </c>
      <c r="C36" s="5" t="str">
        <f>"|M1_04_19"</f>
        <v>|M1_04_19</v>
      </c>
    </row>
    <row r="37" spans="2:3" ht="15" hidden="1" outlineLevel="1">
      <c r="B37" s="5" t="str">
        <f>"|I_T"</f>
        <v>|I_T</v>
      </c>
      <c r="C37" s="5" t="str">
        <f>"|M1_04_20"</f>
        <v>|M1_04_20</v>
      </c>
    </row>
    <row r="38" spans="2:3" ht="15" hidden="1" outlineLevel="1">
      <c r="B38" s="5" t="str">
        <f>"|I_F0001"</f>
        <v>|I_F0001</v>
      </c>
      <c r="C38" s="5" t="str">
        <f>"|M1_04_20_001,M1_04_20_002,M1_04_20_003,M1_04_20_004"</f>
        <v>|M1_04_20_001,M1_04_20_002,M1_04_20_003,M1_04_20_004</v>
      </c>
    </row>
    <row r="39" spans="2:3" ht="15" hidden="1" outlineLevel="1">
      <c r="B39" s="5" t="str">
        <f t="shared" si="1"/>
        <v>|I_NONE</v>
      </c>
      <c r="C39" s="5" t="str">
        <f>"|M1_04_20_099"</f>
        <v>|M1_04_20_099</v>
      </c>
    </row>
    <row r="40" spans="2:3" ht="15" hidden="1" outlineLevel="1">
      <c r="B40" s="5" t="str">
        <f t="shared" si="1"/>
        <v>|I_NONE</v>
      </c>
      <c r="C40" s="5" t="str">
        <f>"|M1_04_21,M1_04_22,M1_04_23,M1_04_24,M1_04_25"</f>
        <v>|M1_04_21,M1_04_22,M1_04_23,M1_04_24,M1_04_25</v>
      </c>
    </row>
    <row r="41" spans="2:3" ht="15" hidden="1" outlineLevel="1">
      <c r="B41" s="5" t="str">
        <f t="shared" si="1"/>
        <v>|I_NONE</v>
      </c>
      <c r="C41" s="5" t="str">
        <f>"|F_CLO"</f>
        <v>|F_CLO</v>
      </c>
    </row>
    <row r="42" ht="15" hidden="1" outlineLevel="1"/>
    <row r="43" spans="1:2" ht="15" hidden="1" outlineLevel="1">
      <c r="A43" s="50" t="s">
        <v>46</v>
      </c>
      <c r="B43" s="51" t="s">
        <v>47</v>
      </c>
    </row>
    <row r="44" spans="1:2" ht="15" hidden="1" outlineLevel="1">
      <c r="A44" s="7" t="s">
        <v>48</v>
      </c>
      <c r="B44" s="8"/>
    </row>
    <row r="45" spans="1:2" ht="15" hidden="1" outlineLevel="1">
      <c r="A45" s="7" t="s">
        <v>49</v>
      </c>
      <c r="B45" s="8"/>
    </row>
    <row r="46" spans="1:2" ht="15" hidden="1" outlineLevel="1">
      <c r="A46" s="7" t="s">
        <v>50</v>
      </c>
      <c r="B46" s="8"/>
    </row>
    <row r="47" spans="1:2" ht="15" hidden="1" outlineLevel="1">
      <c r="A47" s="7" t="s">
        <v>51</v>
      </c>
      <c r="B47" s="8"/>
    </row>
    <row r="48" spans="1:2" ht="15" hidden="1" outlineLevel="1">
      <c r="A48" s="7" t="s">
        <v>52</v>
      </c>
      <c r="B48" s="8" t="s">
        <v>53</v>
      </c>
    </row>
    <row r="49" spans="1:2" ht="15" hidden="1" outlineLevel="1">
      <c r="A49" s="7" t="s">
        <v>54</v>
      </c>
      <c r="B49" s="8" t="s">
        <v>53</v>
      </c>
    </row>
    <row r="50" spans="1:2" ht="15" hidden="1" outlineLevel="1">
      <c r="A50" s="7" t="s">
        <v>55</v>
      </c>
      <c r="B50" s="8"/>
    </row>
    <row r="51" spans="1:2" ht="15" hidden="1" outlineLevel="1">
      <c r="A51" s="7" t="s">
        <v>56</v>
      </c>
      <c r="B51" s="8"/>
    </row>
    <row r="52" spans="1:2" ht="15" hidden="1" outlineLevel="1">
      <c r="A52" s="7" t="s">
        <v>58</v>
      </c>
      <c r="B52" s="8"/>
    </row>
    <row r="53" spans="1:2" ht="15" hidden="1" outlineLevel="1">
      <c r="A53" s="7" t="s">
        <v>59</v>
      </c>
      <c r="B53" s="8"/>
    </row>
    <row r="54" spans="1:2" ht="15" hidden="1" outlineLevel="1">
      <c r="A54" s="7" t="s">
        <v>60</v>
      </c>
      <c r="B54" s="8"/>
    </row>
    <row r="55" spans="1:2" ht="15" hidden="1" outlineLevel="1">
      <c r="A55" s="7" t="s">
        <v>61</v>
      </c>
      <c r="B55" s="8"/>
    </row>
    <row r="56" spans="1:2" ht="15" hidden="1" outlineLevel="1">
      <c r="A56" s="7" t="s">
        <v>62</v>
      </c>
      <c r="B56" s="8"/>
    </row>
    <row r="57" spans="1:2" ht="15" hidden="1" outlineLevel="1">
      <c r="A57" s="7" t="s">
        <v>63</v>
      </c>
      <c r="B57" s="8"/>
    </row>
    <row r="58" spans="1:2" ht="15" hidden="1" outlineLevel="1">
      <c r="A58" s="7" t="s">
        <v>64</v>
      </c>
      <c r="B58" s="8"/>
    </row>
    <row r="59" spans="1:2" ht="15" hidden="1" outlineLevel="1">
      <c r="A59" s="7" t="s">
        <v>65</v>
      </c>
      <c r="B59" s="8"/>
    </row>
    <row r="60" spans="1:2" ht="15" hidden="1" outlineLevel="1">
      <c r="A60" s="7" t="s">
        <v>66</v>
      </c>
      <c r="B60" s="8"/>
    </row>
    <row r="61" ht="15" hidden="1" outlineLevel="1"/>
    <row r="62" ht="15" hidden="1" outlineLevel="1"/>
    <row r="63" spans="1:7" ht="15" hidden="1" outlineLevel="1">
      <c r="A63" s="54" t="s">
        <v>68</v>
      </c>
      <c r="B63" s="55" t="s">
        <v>69</v>
      </c>
      <c r="C63" s="55" t="s">
        <v>70</v>
      </c>
      <c r="D63" s="55" t="s">
        <v>71</v>
      </c>
      <c r="E63" s="55" t="s">
        <v>72</v>
      </c>
      <c r="F63" s="56" t="s">
        <v>73</v>
      </c>
      <c r="G63" s="21"/>
    </row>
    <row r="64" spans="1:7" ht="15" hidden="1" outlineLevel="1">
      <c r="A64" s="17"/>
      <c r="B64" s="18"/>
      <c r="C64" s="18"/>
      <c r="D64" s="18"/>
      <c r="E64" s="18"/>
      <c r="F64" s="19"/>
      <c r="G64" s="21"/>
    </row>
    <row r="65" spans="1:7" ht="15" hidden="1" outlineLevel="1">
      <c r="A65" s="20" t="s">
        <v>76</v>
      </c>
      <c r="B65" s="21"/>
      <c r="C65" s="57">
        <v>12345</v>
      </c>
      <c r="D65" s="21"/>
      <c r="E65" s="21"/>
      <c r="F65" s="22" t="s">
        <v>82</v>
      </c>
      <c r="G65" s="21"/>
    </row>
    <row r="66" spans="1:7" ht="15" hidden="1" outlineLevel="1">
      <c r="A66" s="20"/>
      <c r="B66" s="21"/>
      <c r="C66" s="58"/>
      <c r="D66" s="21"/>
      <c r="E66" s="21"/>
      <c r="F66" s="22"/>
      <c r="G66" s="21"/>
    </row>
    <row r="67" spans="1:7" ht="15" hidden="1" outlineLevel="1">
      <c r="A67" s="20" t="s">
        <v>76</v>
      </c>
      <c r="B67" s="21"/>
      <c r="C67" s="57">
        <v>12345</v>
      </c>
      <c r="D67" s="21"/>
      <c r="E67" s="21"/>
      <c r="F67" s="22" t="s">
        <v>82</v>
      </c>
      <c r="G67" s="21">
        <f>IF(ISERROR(SEARCH(C$173,#REF!,1)),0,1)</f>
        <v>0</v>
      </c>
    </row>
    <row r="68" spans="1:7" ht="15" hidden="1" outlineLevel="1">
      <c r="A68" s="20"/>
      <c r="B68" s="21"/>
      <c r="C68" s="58"/>
      <c r="D68" s="21"/>
      <c r="E68" s="21"/>
      <c r="F68" s="22"/>
      <c r="G68" s="21"/>
    </row>
    <row r="69" spans="1:7" ht="15" hidden="1" outlineLevel="1">
      <c r="A69" s="20" t="s">
        <v>76</v>
      </c>
      <c r="B69" s="21"/>
      <c r="C69" s="59" t="s">
        <v>268</v>
      </c>
      <c r="D69" s="21" t="s">
        <v>77</v>
      </c>
      <c r="E69" s="21"/>
      <c r="F69" s="22" t="s">
        <v>78</v>
      </c>
      <c r="G69" s="21"/>
    </row>
    <row r="70" spans="1:7" ht="15" hidden="1" outlineLevel="1">
      <c r="A70" s="20"/>
      <c r="B70" s="21"/>
      <c r="C70" s="21"/>
      <c r="D70" s="21"/>
      <c r="E70" s="21"/>
      <c r="F70" s="22"/>
      <c r="G70" s="21"/>
    </row>
    <row r="71" spans="1:7" ht="15" hidden="1" outlineLevel="1">
      <c r="A71" s="20" t="s">
        <v>76</v>
      </c>
      <c r="B71" s="21" t="s">
        <v>34</v>
      </c>
      <c r="C71" s="60" t="s">
        <v>268</v>
      </c>
      <c r="D71" s="21"/>
      <c r="E71" s="21"/>
      <c r="F71" s="22" t="s">
        <v>79</v>
      </c>
      <c r="G71" s="21"/>
    </row>
    <row r="72" spans="1:7" ht="15" hidden="1" outlineLevel="1">
      <c r="A72" s="20"/>
      <c r="B72" s="21"/>
      <c r="C72" s="21"/>
      <c r="D72" s="21"/>
      <c r="E72" s="21"/>
      <c r="F72" s="22"/>
      <c r="G72" s="21"/>
    </row>
    <row r="73" spans="1:7" ht="15" hidden="1" outlineLevel="1">
      <c r="A73" s="20" t="s">
        <v>76</v>
      </c>
      <c r="B73" s="21" t="s">
        <v>35</v>
      </c>
      <c r="C73" s="27" t="s">
        <v>268</v>
      </c>
      <c r="D73" s="21"/>
      <c r="E73" s="21"/>
      <c r="F73" s="22" t="s">
        <v>79</v>
      </c>
      <c r="G73" s="21"/>
    </row>
    <row r="74" spans="1:7" ht="15" hidden="1" outlineLevel="1">
      <c r="A74" s="20"/>
      <c r="B74" s="21"/>
      <c r="C74" s="21"/>
      <c r="D74" s="21"/>
      <c r="E74" s="21"/>
      <c r="F74" s="22"/>
      <c r="G74" s="21"/>
    </row>
    <row r="75" spans="1:7" ht="15" hidden="1" outlineLevel="1">
      <c r="A75" s="20" t="s">
        <v>7</v>
      </c>
      <c r="B75" s="21"/>
      <c r="C75" s="23"/>
      <c r="D75" s="21" t="s">
        <v>81</v>
      </c>
      <c r="E75" s="21"/>
      <c r="F75" s="22" t="s">
        <v>82</v>
      </c>
      <c r="G75" s="21"/>
    </row>
    <row r="76" spans="1:7" ht="15" hidden="1" outlineLevel="1">
      <c r="A76" s="20"/>
      <c r="B76" s="21"/>
      <c r="C76" s="21"/>
      <c r="D76" s="21"/>
      <c r="E76" s="21"/>
      <c r="F76" s="22"/>
      <c r="G76" s="21"/>
    </row>
    <row r="77" spans="1:7" ht="15" hidden="1" outlineLevel="1">
      <c r="A77" s="20" t="s">
        <v>80</v>
      </c>
      <c r="B77" s="21"/>
      <c r="C77" s="61">
        <v>12345</v>
      </c>
      <c r="D77" s="21"/>
      <c r="E77" s="21"/>
      <c r="F77" s="22" t="s">
        <v>82</v>
      </c>
      <c r="G77" s="21"/>
    </row>
    <row r="78" spans="1:7" ht="15" hidden="1" outlineLevel="1">
      <c r="A78" s="20" t="s">
        <v>80</v>
      </c>
      <c r="B78" s="21"/>
      <c r="C78" s="61">
        <v>12345</v>
      </c>
      <c r="D78" s="21"/>
      <c r="E78" s="21"/>
      <c r="F78" s="22" t="s">
        <v>82</v>
      </c>
      <c r="G78" s="21">
        <f>IF(ISERROR(SEARCH(C$173,#REF!,1)),0,1)</f>
        <v>0</v>
      </c>
    </row>
    <row r="79" spans="1:7" ht="15" hidden="1" outlineLevel="1">
      <c r="A79" s="20" t="s">
        <v>80</v>
      </c>
      <c r="B79" s="21" t="s">
        <v>35</v>
      </c>
      <c r="C79" s="62">
        <v>12345</v>
      </c>
      <c r="D79" s="21"/>
      <c r="E79" s="21"/>
      <c r="F79" s="22" t="s">
        <v>82</v>
      </c>
      <c r="G79" s="21"/>
    </row>
    <row r="80" spans="1:7" ht="15" hidden="1" outlineLevel="1">
      <c r="A80" s="20" t="e">
        <f>"TIME.ID="&amp;$O$14</f>
        <v>#NAME?</v>
      </c>
      <c r="B80" s="21" t="s">
        <v>34</v>
      </c>
      <c r="C80" s="61">
        <v>12345</v>
      </c>
      <c r="D80" s="21" t="s">
        <v>269</v>
      </c>
      <c r="E80" s="21"/>
      <c r="F80" s="22" t="s">
        <v>82</v>
      </c>
      <c r="G80" s="21"/>
    </row>
    <row r="81" spans="1:7" ht="15" hidden="1" outlineLevel="1">
      <c r="A81" s="20" t="s">
        <v>80</v>
      </c>
      <c r="B81" s="21" t="s">
        <v>35</v>
      </c>
      <c r="C81" s="62">
        <v>12345</v>
      </c>
      <c r="D81" s="21"/>
      <c r="E81" s="21"/>
      <c r="F81" s="22" t="s">
        <v>82</v>
      </c>
      <c r="G81" s="21">
        <f>IF(ISERROR(SEARCH(C$173,#REF!,1)),0,1)</f>
        <v>0</v>
      </c>
    </row>
    <row r="82" spans="1:7" ht="15" hidden="1" outlineLevel="1">
      <c r="A82" s="20" t="str">
        <f>"FLOW.ID=M1_04_01"</f>
        <v>FLOW.ID=M1_04_01</v>
      </c>
      <c r="B82" s="21" t="s">
        <v>35</v>
      </c>
      <c r="C82" s="61">
        <v>12345</v>
      </c>
      <c r="D82" s="21" t="s">
        <v>269</v>
      </c>
      <c r="E82" s="21"/>
      <c r="F82" s="22" t="s">
        <v>82</v>
      </c>
      <c r="G82" s="21"/>
    </row>
    <row r="83" spans="1:6" ht="15" hidden="1" outlineLevel="1">
      <c r="A83" s="20" t="s">
        <v>80</v>
      </c>
      <c r="B83" s="21" t="s">
        <v>35</v>
      </c>
      <c r="C83" s="28" t="s">
        <v>268</v>
      </c>
      <c r="D83" s="21"/>
      <c r="E83" s="21"/>
      <c r="F83" s="22" t="s">
        <v>79</v>
      </c>
    </row>
    <row r="84" spans="1:6" ht="15" hidden="1" outlineLevel="1">
      <c r="A84" s="21" t="s">
        <v>90</v>
      </c>
      <c r="B84" s="21" t="s">
        <v>35</v>
      </c>
      <c r="C84" s="63" t="s">
        <v>268</v>
      </c>
      <c r="D84" s="21" t="s">
        <v>91</v>
      </c>
      <c r="E84" s="21"/>
      <c r="F84" s="22" t="s">
        <v>79</v>
      </c>
    </row>
    <row r="85" spans="1:6" ht="15" hidden="1" outlineLevel="1">
      <c r="A85" s="21" t="s">
        <v>270</v>
      </c>
      <c r="B85" s="21" t="s">
        <v>35</v>
      </c>
      <c r="C85" s="64">
        <v>12345</v>
      </c>
      <c r="D85" s="21"/>
      <c r="E85" s="21"/>
      <c r="F85" s="22" t="s">
        <v>82</v>
      </c>
    </row>
    <row r="86" spans="1:6" ht="15" hidden="1" outlineLevel="1">
      <c r="A86" s="21"/>
      <c r="B86" s="21"/>
      <c r="C86" s="21"/>
      <c r="D86" s="21"/>
      <c r="E86" s="21"/>
      <c r="F86" s="22"/>
    </row>
    <row r="87" spans="1:7" ht="15" hidden="1" outlineLevel="1">
      <c r="A87" s="21" t="s">
        <v>270</v>
      </c>
      <c r="B87" s="21" t="s">
        <v>35</v>
      </c>
      <c r="C87" s="64">
        <v>12345</v>
      </c>
      <c r="D87" s="21"/>
      <c r="E87" s="21"/>
      <c r="F87" s="22" t="s">
        <v>82</v>
      </c>
      <c r="G87" s="5">
        <f>IF(ISERROR(SEARCH(C$173,#REF!,1)),0,1)</f>
        <v>0</v>
      </c>
    </row>
    <row r="88" spans="1:6" ht="15" hidden="1" outlineLevel="1">
      <c r="A88" s="21"/>
      <c r="B88" s="21"/>
      <c r="C88" s="65"/>
      <c r="D88" s="21"/>
      <c r="E88" s="21"/>
      <c r="F88" s="22"/>
    </row>
    <row r="89" spans="1:6" ht="15" hidden="1" outlineLevel="1">
      <c r="A89" s="21" t="s">
        <v>270</v>
      </c>
      <c r="B89" s="21" t="s">
        <v>35</v>
      </c>
      <c r="C89" s="28" t="s">
        <v>268</v>
      </c>
      <c r="D89" s="21"/>
      <c r="E89" s="21"/>
      <c r="F89" s="22" t="s">
        <v>79</v>
      </c>
    </row>
    <row r="90" spans="1:6" ht="15" hidden="1" outlineLevel="1">
      <c r="A90" s="21" t="e">
        <f>IF(OR(currentStatus="Checking",currentStatus="Approved",currentStatus="LOCKED"),"DEFAULT","")</f>
        <v>#REF!</v>
      </c>
      <c r="B90" s="21" t="s">
        <v>34</v>
      </c>
      <c r="C90" s="61">
        <v>12345</v>
      </c>
      <c r="D90" s="21"/>
      <c r="E90" s="21"/>
      <c r="F90" s="21" t="s">
        <v>82</v>
      </c>
    </row>
    <row r="91" spans="1:6" ht="15" hidden="1" outlineLevel="1">
      <c r="A91" s="5" t="s">
        <v>271</v>
      </c>
      <c r="B91" s="5" t="s">
        <v>35</v>
      </c>
      <c r="C91" s="30" t="s">
        <v>272</v>
      </c>
      <c r="D91" s="5" t="s">
        <v>84</v>
      </c>
      <c r="F91" s="5" t="s">
        <v>79</v>
      </c>
    </row>
    <row r="92" spans="1:6" ht="15" hidden="1" outlineLevel="1">
      <c r="A92" s="5" t="s">
        <v>273</v>
      </c>
      <c r="B92" s="5" t="s">
        <v>35</v>
      </c>
      <c r="C92" s="30" t="s">
        <v>272</v>
      </c>
      <c r="D92" s="5" t="s">
        <v>84</v>
      </c>
      <c r="F92" s="5" t="s">
        <v>79</v>
      </c>
    </row>
    <row r="93" spans="3:4" ht="15" hidden="1" outlineLevel="1">
      <c r="C93" s="35"/>
      <c r="D93" s="21"/>
    </row>
    <row r="94" spans="1:6" ht="15" hidden="1" outlineLevel="1">
      <c r="A94" s="43" t="e">
        <f>_XLL.EVDRE($N$2,A97:B104,A107:E113)</f>
        <v>#NAME?</v>
      </c>
      <c r="B94" s="44" t="s">
        <v>274</v>
      </c>
      <c r="C94" s="45"/>
      <c r="D94" s="45"/>
      <c r="E94" s="45"/>
      <c r="F94" s="46"/>
    </row>
    <row r="95" ht="15" hidden="1" outlineLevel="1">
      <c r="A95" s="5" t="e">
        <f>A94</f>
        <v>#NAME?</v>
      </c>
    </row>
    <row r="96" spans="1:2" ht="15" hidden="1" outlineLevel="1">
      <c r="A96" s="50" t="s">
        <v>4</v>
      </c>
      <c r="B96" s="51" t="s">
        <v>5</v>
      </c>
    </row>
    <row r="97" spans="1:3" ht="15" hidden="1" outlineLevel="1">
      <c r="A97" s="7" t="s">
        <v>8</v>
      </c>
      <c r="B97" s="8" t="e">
        <f>_XLL.EVRNG(N3:N15)</f>
        <v>#NAME?</v>
      </c>
      <c r="C97" s="52" t="s">
        <v>107</v>
      </c>
    </row>
    <row r="98" spans="1:3" ht="15" hidden="1" outlineLevel="1">
      <c r="A98" s="7" t="s">
        <v>10</v>
      </c>
      <c r="B98" s="8" t="e">
        <f>_XLL.EVRNG(M228:W229,Y228:Z229)</f>
        <v>#NAME?</v>
      </c>
      <c r="C98" s="52" t="s">
        <v>107</v>
      </c>
    </row>
    <row r="99" spans="1:3" ht="15" hidden="1" outlineLevel="1">
      <c r="A99" s="7" t="s">
        <v>12</v>
      </c>
      <c r="B99" s="8" t="e">
        <f>_XLL.EVRNG(J230:K231,J232:K234,J235:K236,J237:K238,J239:K240,J241:K242,J243:K244,J245:K246,J247:K248,J249:K250,J251:K254,J255:K256,J257:K264,J265:K266,J267:K268,J269:K270,J271:K272,J273:K274,J275:K278,J279:K280,J281:K285,J286:K287)</f>
        <v>#NAME?</v>
      </c>
      <c r="C99" s="52" t="s">
        <v>107</v>
      </c>
    </row>
    <row r="100" spans="1:2" ht="15" hidden="1" outlineLevel="1">
      <c r="A100" s="7" t="s">
        <v>14</v>
      </c>
      <c r="B100" s="8"/>
    </row>
    <row r="101" spans="1:7" ht="15" hidden="1" outlineLevel="1">
      <c r="A101" s="7" t="s">
        <v>17</v>
      </c>
      <c r="B101" s="8"/>
      <c r="G101" s="52" t="s">
        <v>107</v>
      </c>
    </row>
    <row r="102" spans="1:7" ht="15" hidden="1" outlineLevel="1">
      <c r="A102" s="7" t="s">
        <v>21</v>
      </c>
      <c r="B102" s="8" t="e">
        <f>_XLL.EVRNG($A$64:$F$90)</f>
        <v>#NAME?</v>
      </c>
      <c r="G102" s="52" t="s">
        <v>107</v>
      </c>
    </row>
    <row r="103" spans="1:2" ht="15" hidden="1" outlineLevel="1">
      <c r="A103" s="7" t="s">
        <v>23</v>
      </c>
      <c r="B103" s="8" t="e">
        <f>_XLL.EVRNG($A$44:$B$60)</f>
        <v>#NAME?</v>
      </c>
    </row>
    <row r="104" spans="1:2" ht="15" hidden="1" outlineLevel="1">
      <c r="A104" s="7" t="s">
        <v>25</v>
      </c>
      <c r="B104" s="8"/>
    </row>
    <row r="105" ht="15" hidden="1" outlineLevel="1"/>
    <row r="106" spans="1:13" ht="15" hidden="1" outlineLevel="1">
      <c r="A106" s="54" t="s">
        <v>29</v>
      </c>
      <c r="B106" s="55" t="s">
        <v>30</v>
      </c>
      <c r="C106" s="55" t="s">
        <v>31</v>
      </c>
      <c r="D106" s="55" t="s">
        <v>32</v>
      </c>
      <c r="E106" s="55" t="s">
        <v>266</v>
      </c>
      <c r="H106" s="5"/>
      <c r="I106" s="47"/>
      <c r="M106" s="48"/>
    </row>
    <row r="107" spans="1:13" ht="15" hidden="1" outlineLevel="1">
      <c r="A107" s="13" t="s">
        <v>33</v>
      </c>
      <c r="B107" s="14" t="s">
        <v>35</v>
      </c>
      <c r="C107" s="14" t="s">
        <v>35</v>
      </c>
      <c r="D107" s="14" t="s">
        <v>34</v>
      </c>
      <c r="E107" s="14" t="s">
        <v>34</v>
      </c>
      <c r="H107" s="5"/>
      <c r="I107" s="47"/>
      <c r="M107" s="48"/>
    </row>
    <row r="108" spans="1:13" ht="15" hidden="1" outlineLevel="1">
      <c r="A108" s="13" t="s">
        <v>37</v>
      </c>
      <c r="B108" s="14" t="s">
        <v>38</v>
      </c>
      <c r="C108" s="14" t="s">
        <v>15</v>
      </c>
      <c r="D108" s="14" t="s">
        <v>26</v>
      </c>
      <c r="E108" s="14" t="s">
        <v>39</v>
      </c>
      <c r="H108" s="5"/>
      <c r="I108" s="47"/>
      <c r="M108" s="48"/>
    </row>
    <row r="109" spans="1:13" ht="15" hidden="1" outlineLevel="1">
      <c r="A109" s="13" t="s">
        <v>41</v>
      </c>
      <c r="B109" s="11" t="str">
        <f>CONCATENATE(B114,B115,B116,B117,B118,B119,B120,B121,B122,B123,B124,B125,B126,B127,B128,B129,B130,B131,B132,B133,B134,B135)</f>
        <v>I_NONE|I_NONE|I_NONE|I_NONE|I_NONE|I_NONE|I_NONE|I_NONE|I_NONE|I_T|I_F0001|I_NONE|I_NONE|I_NONE|I_F0001|I_NONE|I_NONE|I_T|I_F0001|I_NONE|I_NONE|I_NONE</v>
      </c>
      <c r="C109" s="11" t="str">
        <f>CONCATENATE(C114,C115,C116,C117,C118,C119,C120,C121,C122,C123,C124,C125,C126,C127,C128,C129,C130,C131,C132,C133,C134,C135)</f>
        <v>M1_04_51|M1_04_52,M1_04_53,M1_04_54|F_OPE|M1_04_01|M1_04_02|M1_04_03|M1_04_04|M1_04_05|M1_04_06|M1_04_07|M1_04_07_001,M1_04_07_002,M1_04_07_003,M1_04_07_004|M1_04_07_099|M1_04_08,M1_04_09,M1_04_10,M1_04_11,M1_04_12,M1_04_13,M1_04_14,M1_04_15|M1_04_16|M1_04_17|M1_04_18|M1_04_19|M1_04_20|M1_04_20_001,M1_04_20_002,M1_04_20_003,M1_04_20_004|M1_04_20_099|M1_04_21,M1_04_22,M1_04_23,M1_04_24,M1_04_25|F_CLO</v>
      </c>
      <c r="D109" s="11" t="e">
        <f>_XLL.EVTIM($N$2,$N$14,-1,"YEAR")</f>
        <v>#NAME?</v>
      </c>
      <c r="E109" s="14" t="s">
        <v>267</v>
      </c>
      <c r="H109" s="52" t="s">
        <v>107</v>
      </c>
      <c r="I109" s="47"/>
      <c r="M109" s="48"/>
    </row>
    <row r="110" spans="1:13" ht="15" hidden="1" outlineLevel="1">
      <c r="A110" s="13" t="s">
        <v>42</v>
      </c>
      <c r="B110" s="14"/>
      <c r="C110" s="14"/>
      <c r="D110" s="14"/>
      <c r="E110" s="14"/>
      <c r="H110" s="5"/>
      <c r="I110" s="47"/>
      <c r="M110" s="48"/>
    </row>
    <row r="111" spans="1:13" ht="15" hidden="1" outlineLevel="1">
      <c r="A111" s="13" t="s">
        <v>43</v>
      </c>
      <c r="B111" s="14"/>
      <c r="C111" s="14"/>
      <c r="D111" s="14"/>
      <c r="E111" s="14"/>
      <c r="H111" s="5"/>
      <c r="I111" s="47"/>
      <c r="M111" s="48"/>
    </row>
    <row r="112" spans="1:13" ht="15" hidden="1" outlineLevel="1">
      <c r="A112" s="13" t="s">
        <v>44</v>
      </c>
      <c r="B112" s="14"/>
      <c r="C112" s="14"/>
      <c r="D112" s="14"/>
      <c r="E112" s="14"/>
      <c r="H112" s="5"/>
      <c r="I112" s="47"/>
      <c r="M112" s="48"/>
    </row>
    <row r="113" spans="1:13" ht="15" hidden="1" outlineLevel="1">
      <c r="A113" s="13" t="s">
        <v>45</v>
      </c>
      <c r="B113" s="14"/>
      <c r="C113" s="14"/>
      <c r="D113" s="14"/>
      <c r="E113" s="14"/>
      <c r="H113" s="5"/>
      <c r="I113" s="47"/>
      <c r="M113" s="48"/>
    </row>
    <row r="114" spans="2:8" ht="15" hidden="1" outlineLevel="1">
      <c r="B114" s="5" t="str">
        <f>"I_NONE"</f>
        <v>I_NONE</v>
      </c>
      <c r="C114" s="5" t="str">
        <f>"M1_04_51"</f>
        <v>M1_04_51</v>
      </c>
      <c r="H114" s="66"/>
    </row>
    <row r="115" spans="2:8" ht="15" hidden="1" outlineLevel="1">
      <c r="B115" s="5" t="str">
        <f>"|I_NONE"</f>
        <v>|I_NONE</v>
      </c>
      <c r="C115" s="5" t="str">
        <f>"|M1_04_52,M1_04_53,M1_04_54"</f>
        <v>|M1_04_52,M1_04_53,M1_04_54</v>
      </c>
      <c r="H115" s="66"/>
    </row>
    <row r="116" spans="2:8" ht="15" hidden="1" outlineLevel="1">
      <c r="B116" s="5" t="str">
        <f aca="true" t="shared" si="2" ref="B116:B122">"|I_NONE"</f>
        <v>|I_NONE</v>
      </c>
      <c r="C116" s="5" t="str">
        <f>"|F_OPE"</f>
        <v>|F_OPE</v>
      </c>
      <c r="H116" s="66"/>
    </row>
    <row r="117" spans="2:8" ht="15" hidden="1" outlineLevel="1">
      <c r="B117" s="5" t="str">
        <f t="shared" si="2"/>
        <v>|I_NONE</v>
      </c>
      <c r="C117" s="5" t="str">
        <f>"|M1_04_01"</f>
        <v>|M1_04_01</v>
      </c>
      <c r="H117" s="66"/>
    </row>
    <row r="118" spans="2:8" ht="15" hidden="1" outlineLevel="1">
      <c r="B118" s="5" t="str">
        <f t="shared" si="2"/>
        <v>|I_NONE</v>
      </c>
      <c r="C118" s="5" t="str">
        <f>"|M1_04_02"</f>
        <v>|M1_04_02</v>
      </c>
      <c r="H118" s="66"/>
    </row>
    <row r="119" spans="2:8" ht="15" hidden="1" outlineLevel="1">
      <c r="B119" s="5" t="str">
        <f t="shared" si="2"/>
        <v>|I_NONE</v>
      </c>
      <c r="C119" s="5" t="str">
        <f>"|M1_04_03"</f>
        <v>|M1_04_03</v>
      </c>
      <c r="H119" s="66"/>
    </row>
    <row r="120" spans="2:8" ht="15" hidden="1" outlineLevel="1">
      <c r="B120" s="5" t="str">
        <f t="shared" si="2"/>
        <v>|I_NONE</v>
      </c>
      <c r="C120" s="5" t="str">
        <f>"|M1_04_04"</f>
        <v>|M1_04_04</v>
      </c>
      <c r="H120" s="66"/>
    </row>
    <row r="121" spans="2:8" ht="15" hidden="1" outlineLevel="1">
      <c r="B121" s="5" t="str">
        <f t="shared" si="2"/>
        <v>|I_NONE</v>
      </c>
      <c r="C121" s="5" t="str">
        <f>"|M1_04_05"</f>
        <v>|M1_04_05</v>
      </c>
      <c r="H121" s="66"/>
    </row>
    <row r="122" spans="2:8" ht="15" hidden="1" outlineLevel="1">
      <c r="B122" s="5" t="str">
        <f t="shared" si="2"/>
        <v>|I_NONE</v>
      </c>
      <c r="C122" s="5" t="str">
        <f>"|M1_04_06"</f>
        <v>|M1_04_06</v>
      </c>
      <c r="H122" s="66"/>
    </row>
    <row r="123" spans="2:8" ht="15" hidden="1" outlineLevel="1">
      <c r="B123" s="5" t="str">
        <f>"|I_T"</f>
        <v>|I_T</v>
      </c>
      <c r="C123" s="5" t="str">
        <f>"|M1_04_07"</f>
        <v>|M1_04_07</v>
      </c>
      <c r="H123" s="66"/>
    </row>
    <row r="124" spans="2:8" ht="15" hidden="1" outlineLevel="1">
      <c r="B124" s="5" t="str">
        <f>"|I_F0001"</f>
        <v>|I_F0001</v>
      </c>
      <c r="C124" s="5" t="str">
        <f>"|M1_04_07_001,M1_04_07_002,M1_04_07_003,M1_04_07_004"</f>
        <v>|M1_04_07_001,M1_04_07_002,M1_04_07_003,M1_04_07_004</v>
      </c>
      <c r="H124" s="66"/>
    </row>
    <row r="125" spans="2:8" ht="15" hidden="1" outlineLevel="1">
      <c r="B125" s="5" t="str">
        <f aca="true" t="shared" si="3" ref="B125:B135">"|I_NONE"</f>
        <v>|I_NONE</v>
      </c>
      <c r="C125" s="5" t="str">
        <f>"|M1_04_07_099"</f>
        <v>|M1_04_07_099</v>
      </c>
      <c r="H125" s="66"/>
    </row>
    <row r="126" spans="2:8" ht="15" hidden="1" outlineLevel="1">
      <c r="B126" s="5" t="str">
        <f t="shared" si="3"/>
        <v>|I_NONE</v>
      </c>
      <c r="C126" s="5" t="str">
        <f>"|M1_04_08,M1_04_09,M1_04_10,M1_04_11,M1_04_12,M1_04_13,M1_04_14,M1_04_15"</f>
        <v>|M1_04_08,M1_04_09,M1_04_10,M1_04_11,M1_04_12,M1_04_13,M1_04_14,M1_04_15</v>
      </c>
      <c r="H126" s="66"/>
    </row>
    <row r="127" spans="2:8" ht="15" hidden="1" outlineLevel="1">
      <c r="B127" s="5" t="str">
        <f t="shared" si="3"/>
        <v>|I_NONE</v>
      </c>
      <c r="C127" s="5" t="str">
        <f>"|M1_04_16"</f>
        <v>|M1_04_16</v>
      </c>
      <c r="H127" s="66"/>
    </row>
    <row r="128" spans="2:8" ht="15" hidden="1" outlineLevel="1">
      <c r="B128" s="5" t="str">
        <f>"|I_F0001"</f>
        <v>|I_F0001</v>
      </c>
      <c r="C128" s="5" t="str">
        <f>"|M1_04_17"</f>
        <v>|M1_04_17</v>
      </c>
      <c r="H128" s="66"/>
    </row>
    <row r="129" spans="2:8" ht="15" hidden="1" outlineLevel="1">
      <c r="B129" s="5" t="str">
        <f t="shared" si="3"/>
        <v>|I_NONE</v>
      </c>
      <c r="C129" s="5" t="str">
        <f>"|M1_04_18"</f>
        <v>|M1_04_18</v>
      </c>
      <c r="H129" s="66"/>
    </row>
    <row r="130" spans="2:8" ht="15" hidden="1" outlineLevel="1">
      <c r="B130" s="5" t="str">
        <f t="shared" si="3"/>
        <v>|I_NONE</v>
      </c>
      <c r="C130" s="5" t="str">
        <f>"|M1_04_19"</f>
        <v>|M1_04_19</v>
      </c>
      <c r="H130" s="66"/>
    </row>
    <row r="131" spans="2:8" ht="15" hidden="1" outlineLevel="1">
      <c r="B131" s="5" t="str">
        <f>"|I_T"</f>
        <v>|I_T</v>
      </c>
      <c r="C131" s="5" t="str">
        <f>"|M1_04_20"</f>
        <v>|M1_04_20</v>
      </c>
      <c r="H131" s="66"/>
    </row>
    <row r="132" spans="2:8" ht="15" hidden="1" outlineLevel="1">
      <c r="B132" s="5" t="str">
        <f>"|I_F0001"</f>
        <v>|I_F0001</v>
      </c>
      <c r="C132" s="5" t="str">
        <f>"|M1_04_20_001,M1_04_20_002,M1_04_20_003,M1_04_20_004"</f>
        <v>|M1_04_20_001,M1_04_20_002,M1_04_20_003,M1_04_20_004</v>
      </c>
      <c r="H132" s="66"/>
    </row>
    <row r="133" spans="2:8" ht="15" hidden="1" outlineLevel="1">
      <c r="B133" s="5" t="str">
        <f t="shared" si="3"/>
        <v>|I_NONE</v>
      </c>
      <c r="C133" s="5" t="str">
        <f>"|M1_04_20_099"</f>
        <v>|M1_04_20_099</v>
      </c>
      <c r="H133" s="66"/>
    </row>
    <row r="134" spans="2:8" ht="15" hidden="1" outlineLevel="1">
      <c r="B134" s="5" t="str">
        <f t="shared" si="3"/>
        <v>|I_NONE</v>
      </c>
      <c r="C134" s="5" t="str">
        <f>"|M1_04_21,M1_04_22,M1_04_23,M1_04_24,M1_04_25"</f>
        <v>|M1_04_21,M1_04_22,M1_04_23,M1_04_24,M1_04_25</v>
      </c>
      <c r="H134" s="66"/>
    </row>
    <row r="135" spans="2:8" ht="15" hidden="1" outlineLevel="1">
      <c r="B135" s="5" t="str">
        <f t="shared" si="3"/>
        <v>|I_NONE</v>
      </c>
      <c r="C135" s="5" t="str">
        <f>"|F_CLO"</f>
        <v>|F_CLO</v>
      </c>
      <c r="H135" s="66"/>
    </row>
    <row r="136" ht="15" hidden="1" outlineLevel="1">
      <c r="H136" s="66"/>
    </row>
    <row r="137" ht="15" hidden="1" outlineLevel="1"/>
    <row r="138" ht="15" hidden="1" outlineLevel="1"/>
    <row r="139" ht="15" hidden="1" outlineLevel="1"/>
    <row r="140" ht="15" hidden="1" outlineLevel="1"/>
    <row r="141" ht="15" hidden="1" outlineLevel="1"/>
    <row r="142" spans="1:7" ht="15" hidden="1" outlineLevel="1">
      <c r="A142" s="8" t="s">
        <v>275</v>
      </c>
      <c r="B142" s="216" t="str">
        <f>"501010000 504000000 501020000 506000000"</f>
        <v>501010000 504000000 501020000 506000000</v>
      </c>
      <c r="C142" s="217"/>
      <c r="D142" s="217"/>
      <c r="E142" s="217"/>
      <c r="F142" s="217"/>
      <c r="G142" s="218"/>
    </row>
    <row r="143" spans="1:7" ht="15" hidden="1" outlineLevel="1">
      <c r="A143" s="8" t="s">
        <v>276</v>
      </c>
      <c r="B143" s="216" t="str">
        <f>"501010000 504000000 501020000 506000000"</f>
        <v>501010000 504000000 501020000 506000000</v>
      </c>
      <c r="C143" s="217"/>
      <c r="D143" s="217"/>
      <c r="E143" s="217"/>
      <c r="F143" s="217"/>
      <c r="G143" s="218"/>
    </row>
    <row r="144" spans="1:7" ht="15" hidden="1" outlineLevel="1">
      <c r="A144" s="8" t="s">
        <v>277</v>
      </c>
      <c r="B144" s="216" t="str">
        <f>"501010000"</f>
        <v>501010000</v>
      </c>
      <c r="C144" s="217"/>
      <c r="D144" s="217"/>
      <c r="E144" s="217"/>
      <c r="F144" s="217"/>
      <c r="G144" s="218"/>
    </row>
    <row r="145" spans="1:7" ht="15" hidden="1" outlineLevel="1">
      <c r="A145" s="8" t="s">
        <v>278</v>
      </c>
      <c r="B145" s="216" t="str">
        <f>"501010000"</f>
        <v>501010000</v>
      </c>
      <c r="C145" s="217"/>
      <c r="D145" s="217"/>
      <c r="E145" s="217"/>
      <c r="F145" s="217"/>
      <c r="G145" s="218"/>
    </row>
    <row r="146" spans="1:7" ht="15" hidden="1" outlineLevel="1">
      <c r="A146" s="8" t="s">
        <v>279</v>
      </c>
      <c r="B146" s="216" t="str">
        <f>"501010000"</f>
        <v>501010000</v>
      </c>
      <c r="C146" s="217"/>
      <c r="D146" s="217"/>
      <c r="E146" s="217"/>
      <c r="F146" s="217"/>
      <c r="G146" s="218"/>
    </row>
    <row r="147" spans="1:7" ht="15" hidden="1" outlineLevel="1">
      <c r="A147" s="8" t="s">
        <v>280</v>
      </c>
      <c r="B147" s="216" t="str">
        <f>"501010000"</f>
        <v>501010000</v>
      </c>
      <c r="C147" s="217"/>
      <c r="D147" s="217"/>
      <c r="E147" s="217"/>
      <c r="F147" s="217"/>
      <c r="G147" s="218"/>
    </row>
    <row r="148" spans="1:7" ht="15" hidden="1" outlineLevel="1">
      <c r="A148" s="8" t="s">
        <v>281</v>
      </c>
      <c r="B148" s="216" t="str">
        <f>"501010000 503000000 504000000 501020000 505010000 505020000 505030000 505040000 502000000 599990000"</f>
        <v>501010000 503000000 504000000 501020000 505010000 505020000 505030000 505040000 502000000 599990000</v>
      </c>
      <c r="C148" s="217"/>
      <c r="D148" s="217"/>
      <c r="E148" s="217"/>
      <c r="F148" s="217"/>
      <c r="G148" s="218"/>
    </row>
    <row r="149" spans="1:7" ht="15" hidden="1" outlineLevel="1">
      <c r="A149" s="8" t="s">
        <v>282</v>
      </c>
      <c r="B149" s="216" t="str">
        <f>"501010000 503000000 504000000 501020000 505010000 505020000 505040000 505990000 502000000 599990000"</f>
        <v>501010000 503000000 504000000 501020000 505010000 505020000 505040000 505990000 502000000 599990000</v>
      </c>
      <c r="C149" s="217"/>
      <c r="D149" s="217"/>
      <c r="E149" s="217"/>
      <c r="F149" s="217"/>
      <c r="G149" s="218"/>
    </row>
    <row r="150" ht="15" hidden="1" outlineLevel="1"/>
    <row r="151" ht="15" hidden="1" outlineLevel="1"/>
    <row r="152" spans="1:7" ht="15" hidden="1" outlineLevel="1">
      <c r="A152" s="8" t="s">
        <v>283</v>
      </c>
      <c r="B152" s="216" t="str">
        <f>"501010000 503000000 504000000"</f>
        <v>501010000 503000000 504000000</v>
      </c>
      <c r="C152" s="217"/>
      <c r="D152" s="217"/>
      <c r="E152" s="217"/>
      <c r="F152" s="217"/>
      <c r="G152" s="218"/>
    </row>
    <row r="153" spans="1:7" ht="15" hidden="1" outlineLevel="1">
      <c r="A153" s="8" t="s">
        <v>284</v>
      </c>
      <c r="B153" s="216" t="str">
        <f>"501010000 503000000 504000000 505010000 505020000 505030000 505040000 505990000 502000000"</f>
        <v>501010000 503000000 504000000 505010000 505020000 505030000 505040000 505990000 502000000</v>
      </c>
      <c r="C153" s="217"/>
      <c r="D153" s="217"/>
      <c r="E153" s="217"/>
      <c r="F153" s="217"/>
      <c r="G153" s="218"/>
    </row>
    <row r="154" spans="1:7" ht="15" hidden="1" outlineLevel="1">
      <c r="A154" s="8" t="s">
        <v>285</v>
      </c>
      <c r="B154" s="216" t="str">
        <f>"501010000 503000000 504000000 501020000 505010000 505020000 505030000 505040000 505990000 506000000"</f>
        <v>501010000 503000000 504000000 501020000 505010000 505020000 505030000 505040000 505990000 506000000</v>
      </c>
      <c r="C154" s="217"/>
      <c r="D154" s="217"/>
      <c r="E154" s="217"/>
      <c r="F154" s="217"/>
      <c r="G154" s="218"/>
    </row>
    <row r="155" spans="1:7" ht="15" hidden="1" outlineLevel="1">
      <c r="A155" s="8" t="s">
        <v>286</v>
      </c>
      <c r="B155" s="216" t="str">
        <f>"501010000 503000000 504000000 501020000 505010000 505020000 505030000 505040000 505990000"</f>
        <v>501010000 503000000 504000000 501020000 505010000 505020000 505030000 505040000 505990000</v>
      </c>
      <c r="C155" s="217"/>
      <c r="D155" s="217"/>
      <c r="E155" s="217"/>
      <c r="F155" s="217"/>
      <c r="G155" s="218"/>
    </row>
    <row r="156" spans="1:7" ht="15" hidden="1" outlineLevel="1">
      <c r="A156" s="8" t="s">
        <v>287</v>
      </c>
      <c r="B156" s="216" t="str">
        <f>"501010000 503000000 504000000 501020000 505010000 505020000 505030000 505040000 505990000"</f>
        <v>501010000 503000000 504000000 501020000 505010000 505020000 505030000 505040000 505990000</v>
      </c>
      <c r="C156" s="217"/>
      <c r="D156" s="217"/>
      <c r="E156" s="217"/>
      <c r="F156" s="217"/>
      <c r="G156" s="218"/>
    </row>
    <row r="157" spans="1:7" ht="15" hidden="1" outlineLevel="1">
      <c r="A157" s="8" t="s">
        <v>288</v>
      </c>
      <c r="B157" s="216" t="str">
        <f>"501010000 503000000 504000000 501020000 505010000 505020000 505030000 505040000 505990000"</f>
        <v>501010000 503000000 504000000 501020000 505010000 505020000 505030000 505040000 505990000</v>
      </c>
      <c r="C157" s="217"/>
      <c r="D157" s="217"/>
      <c r="E157" s="217"/>
      <c r="F157" s="217"/>
      <c r="G157" s="218"/>
    </row>
    <row r="158" spans="1:7" ht="15" hidden="1" outlineLevel="1">
      <c r="A158" s="8" t="s">
        <v>289</v>
      </c>
      <c r="B158" s="216" t="str">
        <f>"501010000 503000000 504000000 501020000 505010000 505020000 505030000 505040000 505990000 502000000"</f>
        <v>501010000 503000000 504000000 501020000 505010000 505020000 505030000 505040000 505990000 502000000</v>
      </c>
      <c r="C158" s="217"/>
      <c r="D158" s="217"/>
      <c r="E158" s="217"/>
      <c r="F158" s="217"/>
      <c r="G158" s="218"/>
    </row>
    <row r="159" ht="15" hidden="1" outlineLevel="1"/>
    <row r="160" spans="1:7" ht="15" hidden="1" outlineLevel="1">
      <c r="A160" s="8" t="s">
        <v>290</v>
      </c>
      <c r="B160" s="216" t="str">
        <f>"501010000"</f>
        <v>501010000</v>
      </c>
      <c r="C160" s="217"/>
      <c r="D160" s="217"/>
      <c r="E160" s="217"/>
      <c r="F160" s="217"/>
      <c r="G160" s="218"/>
    </row>
    <row r="161" spans="1:7" ht="15" hidden="1" outlineLevel="1">
      <c r="A161" s="8" t="s">
        <v>291</v>
      </c>
      <c r="B161" s="216">
        <f>""</f>
      </c>
      <c r="C161" s="217"/>
      <c r="D161" s="217"/>
      <c r="E161" s="217"/>
      <c r="F161" s="217"/>
      <c r="G161" s="218"/>
    </row>
    <row r="162" spans="1:7" ht="15" hidden="1" outlineLevel="1">
      <c r="A162" s="8" t="s">
        <v>292</v>
      </c>
      <c r="B162" s="216" t="str">
        <f>"501010000"</f>
        <v>501010000</v>
      </c>
      <c r="C162" s="217"/>
      <c r="D162" s="217"/>
      <c r="E162" s="217"/>
      <c r="F162" s="217"/>
      <c r="G162" s="218"/>
    </row>
    <row r="163" ht="15" hidden="1" outlineLevel="1"/>
    <row r="164" ht="15" hidden="1" outlineLevel="1"/>
    <row r="165" ht="15" hidden="1" outlineLevel="1"/>
    <row r="166" spans="1:7" ht="15" collapsed="1">
      <c r="A166" s="8" t="s">
        <v>275</v>
      </c>
      <c r="B166" s="216" t="str">
        <f>"501010000 504000000 501020000 506000000"</f>
        <v>501010000 504000000 501020000 506000000</v>
      </c>
      <c r="C166" s="217"/>
      <c r="D166" s="217"/>
      <c r="E166" s="217"/>
      <c r="F166" s="217"/>
      <c r="G166" s="218"/>
    </row>
    <row r="167" spans="1:12" ht="15">
      <c r="A167" s="8"/>
      <c r="B167" s="67"/>
      <c r="C167" s="68"/>
      <c r="D167" s="68"/>
      <c r="E167" s="68"/>
      <c r="F167" s="68"/>
      <c r="G167" s="69"/>
      <c r="L167" s="70" t="s">
        <v>107</v>
      </c>
    </row>
    <row r="168" spans="1:12" ht="15">
      <c r="A168" s="8" t="s">
        <v>276</v>
      </c>
      <c r="B168" s="216" t="str">
        <f>"501010000 504000000 501020000 506000000"</f>
        <v>501010000 504000000 501020000 506000000</v>
      </c>
      <c r="C168" s="217"/>
      <c r="D168" s="217"/>
      <c r="E168" s="217"/>
      <c r="F168" s="217"/>
      <c r="G168" s="218"/>
      <c r="L168" s="3" t="s">
        <v>395</v>
      </c>
    </row>
    <row r="169" spans="1:12" ht="15">
      <c r="A169" s="8" t="s">
        <v>277</v>
      </c>
      <c r="B169" s="216" t="str">
        <f>"501010000"</f>
        <v>501010000</v>
      </c>
      <c r="C169" s="217"/>
      <c r="D169" s="217"/>
      <c r="E169" s="217"/>
      <c r="F169" s="217"/>
      <c r="G169" s="218"/>
      <c r="L169" s="3" t="s">
        <v>431</v>
      </c>
    </row>
    <row r="170" spans="1:26" ht="15">
      <c r="A170" s="8" t="s">
        <v>278</v>
      </c>
      <c r="B170" s="216" t="str">
        <f>"501010000"</f>
        <v>501010000</v>
      </c>
      <c r="C170" s="217"/>
      <c r="D170" s="217"/>
      <c r="E170" s="217"/>
      <c r="F170" s="217"/>
      <c r="G170" s="218"/>
      <c r="Z170" s="105" t="s">
        <v>396</v>
      </c>
    </row>
    <row r="171" spans="1:26" ht="15">
      <c r="A171" s="8" t="s">
        <v>279</v>
      </c>
      <c r="B171" s="216" t="str">
        <f>"501010000"</f>
        <v>501010000</v>
      </c>
      <c r="C171" s="217"/>
      <c r="D171" s="217"/>
      <c r="E171" s="217"/>
      <c r="F171" s="217"/>
      <c r="G171" s="218"/>
      <c r="L171" s="71"/>
      <c r="M171" s="219" t="str">
        <f>"Приходится на акционера материнской компании"</f>
        <v>Приходится на акционера материнской компании</v>
      </c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20"/>
      <c r="Y171" s="72"/>
      <c r="Z171" s="73"/>
    </row>
    <row r="172" spans="1:26" ht="15" hidden="1">
      <c r="A172" s="8" t="s">
        <v>280</v>
      </c>
      <c r="B172" s="216" t="str">
        <f>"501010000"</f>
        <v>501010000</v>
      </c>
      <c r="C172" s="217"/>
      <c r="D172" s="217"/>
      <c r="E172" s="217"/>
      <c r="F172" s="217"/>
      <c r="G172" s="218"/>
      <c r="L172" s="74"/>
      <c r="M172" s="32" t="s">
        <v>399</v>
      </c>
      <c r="N172" s="32" t="s">
        <v>399</v>
      </c>
      <c r="O172" s="32" t="s">
        <v>399</v>
      </c>
      <c r="P172" s="32" t="s">
        <v>399</v>
      </c>
      <c r="Q172" s="32" t="s">
        <v>399</v>
      </c>
      <c r="R172" s="32" t="s">
        <v>399</v>
      </c>
      <c r="S172" s="32" t="s">
        <v>399</v>
      </c>
      <c r="T172" s="32" t="s">
        <v>399</v>
      </c>
      <c r="U172" s="32" t="s">
        <v>399</v>
      </c>
      <c r="V172" s="32" t="s">
        <v>399</v>
      </c>
      <c r="W172" s="32" t="s">
        <v>399</v>
      </c>
      <c r="Y172" s="32" t="s">
        <v>399</v>
      </c>
      <c r="Z172" s="32" t="s">
        <v>399</v>
      </c>
    </row>
    <row r="173" spans="1:26" ht="15" hidden="1">
      <c r="A173" s="8" t="s">
        <v>281</v>
      </c>
      <c r="B173" s="216" t="str">
        <f>"501010000 503000000 504000000 501020000 505010000 505020000 505030000 505040000 502000000 599990000"</f>
        <v>501010000 503000000 504000000 501020000 505010000 505020000 505030000 505040000 502000000 599990000</v>
      </c>
      <c r="C173" s="217"/>
      <c r="D173" s="217"/>
      <c r="E173" s="217"/>
      <c r="F173" s="217"/>
      <c r="G173" s="218"/>
      <c r="L173" s="74"/>
      <c r="M173" s="75">
        <v>501010000</v>
      </c>
      <c r="N173" s="75">
        <v>503000000</v>
      </c>
      <c r="O173" s="75">
        <v>504000000</v>
      </c>
      <c r="P173" s="75">
        <v>501020000</v>
      </c>
      <c r="Q173" s="75">
        <v>505010000</v>
      </c>
      <c r="R173" s="75">
        <v>505020000</v>
      </c>
      <c r="S173" s="75">
        <v>505030000</v>
      </c>
      <c r="T173" s="75">
        <v>505040000</v>
      </c>
      <c r="U173" s="75">
        <v>505990000</v>
      </c>
      <c r="V173" s="75">
        <v>502000000</v>
      </c>
      <c r="W173" s="75">
        <v>506000000</v>
      </c>
      <c r="Y173" s="75">
        <v>599990000</v>
      </c>
      <c r="Z173" s="75">
        <v>500000000</v>
      </c>
    </row>
    <row r="174" spans="1:26" ht="92.25" customHeight="1">
      <c r="A174" s="8" t="s">
        <v>282</v>
      </c>
      <c r="B174" s="216" t="str">
        <f>"501010000 503000000 504000000 501020000 505010000 505020000 505040000 505990000 502000000 599990000"</f>
        <v>501010000 503000000 504000000 501020000 505010000 505020000 505040000 505990000 502000000 599990000</v>
      </c>
      <c r="C174" s="217"/>
      <c r="D174" s="217"/>
      <c r="E174" s="217"/>
      <c r="F174" s="217"/>
      <c r="G174" s="218"/>
      <c r="L174" s="76"/>
      <c r="M174" s="60" t="s">
        <v>293</v>
      </c>
      <c r="N174" s="60" t="s">
        <v>294</v>
      </c>
      <c r="O174" s="60" t="s">
        <v>417</v>
      </c>
      <c r="P174" s="60" t="s">
        <v>296</v>
      </c>
      <c r="Q174" s="60" t="s">
        <v>418</v>
      </c>
      <c r="R174" s="60" t="s">
        <v>297</v>
      </c>
      <c r="S174" s="60" t="s">
        <v>298</v>
      </c>
      <c r="T174" s="60" t="s">
        <v>299</v>
      </c>
      <c r="U174" s="60" t="s">
        <v>300</v>
      </c>
      <c r="V174" s="60" t="s">
        <v>301</v>
      </c>
      <c r="W174" s="60" t="s">
        <v>302</v>
      </c>
      <c r="X174" s="77" t="s">
        <v>303</v>
      </c>
      <c r="Y174" s="60" t="s">
        <v>398</v>
      </c>
      <c r="Z174" s="60" t="s">
        <v>304</v>
      </c>
    </row>
    <row r="175" spans="10:26" ht="15">
      <c r="J175" s="33" t="s">
        <v>305</v>
      </c>
      <c r="K175" s="33" t="s">
        <v>20</v>
      </c>
      <c r="L175" s="28" t="s">
        <v>425</v>
      </c>
      <c r="M175" s="64">
        <v>21476802</v>
      </c>
      <c r="N175" s="64"/>
      <c r="O175" s="64"/>
      <c r="P175" s="64">
        <v>841018</v>
      </c>
      <c r="Q175" s="64"/>
      <c r="R175" s="64"/>
      <c r="S175" s="64"/>
      <c r="T175" s="64"/>
      <c r="U175" s="64"/>
      <c r="V175" s="64"/>
      <c r="W175" s="64">
        <v>1673171</v>
      </c>
      <c r="X175" s="78">
        <f>SUM(M175:W175)</f>
        <v>23990991</v>
      </c>
      <c r="Y175" s="64">
        <v>656018</v>
      </c>
      <c r="Z175" s="64">
        <f>X175+Y175</f>
        <v>24647009</v>
      </c>
    </row>
    <row r="176" spans="3:26" ht="15" hidden="1">
      <c r="C176" s="52" t="s">
        <v>107</v>
      </c>
      <c r="J176" s="33"/>
      <c r="K176" s="33"/>
      <c r="L176" s="27" t="s">
        <v>306</v>
      </c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78">
        <f>SUM(M176:W176)</f>
        <v>0</v>
      </c>
      <c r="Y176" s="57"/>
      <c r="Z176" s="61"/>
    </row>
    <row r="177" spans="3:28" ht="15">
      <c r="C177" s="52" t="s">
        <v>107</v>
      </c>
      <c r="J177" s="33" t="s">
        <v>305</v>
      </c>
      <c r="K177" s="33" t="s">
        <v>307</v>
      </c>
      <c r="L177" s="27" t="s">
        <v>308</v>
      </c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>
        <f>'Ф2'!D39</f>
        <v>-1465047</v>
      </c>
      <c r="X177" s="200">
        <f>SUM(M177:W177)</f>
        <v>-1465047</v>
      </c>
      <c r="Y177" s="199">
        <f>'Ф2'!D40</f>
        <v>56989</v>
      </c>
      <c r="Z177" s="199">
        <f>X177+Y177</f>
        <v>-1408058</v>
      </c>
      <c r="AA177" s="83"/>
      <c r="AB177" s="83"/>
    </row>
    <row r="178" spans="1:26" ht="15" hidden="1">
      <c r="A178" s="8" t="s">
        <v>285</v>
      </c>
      <c r="B178" s="216" t="str">
        <f>"501010000 503000000 504000000 501020000 505010000 505020000 505030000 505040000 505990000"</f>
        <v>501010000 503000000 504000000 501020000 505010000 505020000 505030000 505040000 505990000</v>
      </c>
      <c r="C178" s="217"/>
      <c r="D178" s="217"/>
      <c r="E178" s="217"/>
      <c r="F178" s="217"/>
      <c r="G178" s="218"/>
      <c r="J178" s="33"/>
      <c r="K178" s="33"/>
      <c r="L178" s="27" t="s">
        <v>308</v>
      </c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0">
        <f>SUM(M178:W178)</f>
        <v>0</v>
      </c>
      <c r="Y178" s="201"/>
      <c r="Z178" s="199"/>
    </row>
    <row r="179" spans="1:26" ht="15">
      <c r="A179" s="8" t="s">
        <v>286</v>
      </c>
      <c r="B179" s="216" t="str">
        <f>"501010000 503000000 504000000 501020000 505010000 505020000 505030000 505040000 505990000"</f>
        <v>501010000 503000000 504000000 501020000 505010000 505020000 505030000 505040000 505990000</v>
      </c>
      <c r="C179" s="217"/>
      <c r="D179" s="217"/>
      <c r="E179" s="217"/>
      <c r="F179" s="217"/>
      <c r="G179" s="218"/>
      <c r="J179" s="33" t="s">
        <v>305</v>
      </c>
      <c r="K179" s="33" t="s">
        <v>309</v>
      </c>
      <c r="L179" s="27" t="s">
        <v>310</v>
      </c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0">
        <f aca="true" t="shared" si="4" ref="X179:X187">SUM(M179:W179)</f>
        <v>0</v>
      </c>
      <c r="Y179" s="201"/>
      <c r="Z179" s="199"/>
    </row>
    <row r="180" spans="1:26" ht="15" hidden="1">
      <c r="A180" s="8" t="s">
        <v>287</v>
      </c>
      <c r="B180" s="216" t="str">
        <f>"501010000 503000000 504000000 501020000 505010000 505020000 505030000 505040000 505990000"</f>
        <v>501010000 503000000 504000000 501020000 505010000 505020000 505030000 505040000 505990000</v>
      </c>
      <c r="C180" s="217"/>
      <c r="D180" s="217"/>
      <c r="E180" s="217"/>
      <c r="F180" s="217"/>
      <c r="G180" s="218"/>
      <c r="J180" s="33"/>
      <c r="K180" s="33"/>
      <c r="L180" s="27" t="s">
        <v>310</v>
      </c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0">
        <f>SUM(M180:W180)</f>
        <v>0</v>
      </c>
      <c r="Y180" s="201"/>
      <c r="Z180" s="199"/>
    </row>
    <row r="181" spans="1:26" ht="30">
      <c r="A181" s="8" t="s">
        <v>288</v>
      </c>
      <c r="B181" s="216" t="str">
        <f>"501010000 503000000 504000000 501020000 505010000 505020000 505030000 505040000 505990000"</f>
        <v>501010000 503000000 504000000 501020000 505010000 505020000 505030000 505040000 505990000</v>
      </c>
      <c r="C181" s="217"/>
      <c r="D181" s="217"/>
      <c r="E181" s="217"/>
      <c r="F181" s="217"/>
      <c r="G181" s="218"/>
      <c r="J181" s="33" t="s">
        <v>305</v>
      </c>
      <c r="K181" s="33" t="s">
        <v>311</v>
      </c>
      <c r="L181" s="27" t="s">
        <v>312</v>
      </c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0">
        <f t="shared" si="4"/>
        <v>0</v>
      </c>
      <c r="Y181" s="201"/>
      <c r="Z181" s="199"/>
    </row>
    <row r="182" spans="1:26" ht="30" hidden="1">
      <c r="A182" s="8" t="s">
        <v>289</v>
      </c>
      <c r="B182" s="216" t="str">
        <f>"501010000 503000000 504000000 501020000 505010000 505020000 505030000 505040000 505990000 502000000"</f>
        <v>501010000 503000000 504000000 501020000 505010000 505020000 505030000 505040000 505990000 502000000</v>
      </c>
      <c r="C182" s="217"/>
      <c r="D182" s="217"/>
      <c r="E182" s="217"/>
      <c r="F182" s="217"/>
      <c r="G182" s="218"/>
      <c r="J182" s="33"/>
      <c r="K182" s="33"/>
      <c r="L182" s="27" t="s">
        <v>312</v>
      </c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0">
        <f>SUM(M182:W182)</f>
        <v>0</v>
      </c>
      <c r="Y182" s="201"/>
      <c r="Z182" s="199"/>
    </row>
    <row r="183" spans="10:26" ht="45">
      <c r="J183" s="33" t="s">
        <v>305</v>
      </c>
      <c r="K183" s="33" t="s">
        <v>313</v>
      </c>
      <c r="L183" s="27" t="s">
        <v>314</v>
      </c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0">
        <f t="shared" si="4"/>
        <v>0</v>
      </c>
      <c r="Y183" s="201"/>
      <c r="Z183" s="199"/>
    </row>
    <row r="184" spans="10:26" ht="45" hidden="1">
      <c r="J184" s="33"/>
      <c r="K184" s="33"/>
      <c r="L184" s="27" t="s">
        <v>314</v>
      </c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0">
        <f>SUM(M184:W184)</f>
        <v>0</v>
      </c>
      <c r="Y184" s="201"/>
      <c r="Z184" s="199"/>
    </row>
    <row r="185" spans="10:26" ht="15">
      <c r="J185" s="33" t="s">
        <v>305</v>
      </c>
      <c r="K185" s="33" t="s">
        <v>315</v>
      </c>
      <c r="L185" s="27" t="s">
        <v>316</v>
      </c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0">
        <f t="shared" si="4"/>
        <v>0</v>
      </c>
      <c r="Y185" s="201"/>
      <c r="Z185" s="199"/>
    </row>
    <row r="186" spans="10:26" ht="15" hidden="1">
      <c r="J186" s="33"/>
      <c r="K186" s="33"/>
      <c r="L186" s="27" t="s">
        <v>316</v>
      </c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0">
        <f>SUM(M186:W186)</f>
        <v>0</v>
      </c>
      <c r="Y186" s="201"/>
      <c r="Z186" s="199"/>
    </row>
    <row r="187" spans="10:26" ht="30">
      <c r="J187" s="33" t="s">
        <v>305</v>
      </c>
      <c r="K187" s="33" t="s">
        <v>317</v>
      </c>
      <c r="L187" s="27" t="s">
        <v>318</v>
      </c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0">
        <f t="shared" si="4"/>
        <v>0</v>
      </c>
      <c r="Y187" s="201"/>
      <c r="Z187" s="199"/>
    </row>
    <row r="188" spans="10:26" ht="30" hidden="1">
      <c r="J188" s="33"/>
      <c r="K188" s="33"/>
      <c r="L188" s="27" t="s">
        <v>318</v>
      </c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79">
        <f>SUM(M188:W188)</f>
        <v>0</v>
      </c>
      <c r="Y188" s="57"/>
      <c r="Z188" s="61"/>
    </row>
    <row r="189" spans="10:26" ht="15">
      <c r="J189" s="33" t="s">
        <v>16</v>
      </c>
      <c r="K189" s="33" t="s">
        <v>319</v>
      </c>
      <c r="L189" s="28" t="s">
        <v>320</v>
      </c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78">
        <f aca="true" t="shared" si="5" ref="X189:X195">SUM(M189:W189)</f>
        <v>0</v>
      </c>
      <c r="Y189" s="62"/>
      <c r="Z189" s="62"/>
    </row>
    <row r="190" spans="10:26" ht="15" hidden="1">
      <c r="J190" s="33"/>
      <c r="K190" s="33"/>
      <c r="L190" s="27" t="s">
        <v>320</v>
      </c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78">
        <f>SUM(M190:W190)</f>
        <v>0</v>
      </c>
      <c r="Y190" s="57"/>
      <c r="Z190" s="61"/>
    </row>
    <row r="191" spans="1:26" ht="45">
      <c r="A191" s="5" t="s">
        <v>92</v>
      </c>
      <c r="J191" s="33" t="s">
        <v>88</v>
      </c>
      <c r="K191" s="33" t="s">
        <v>321</v>
      </c>
      <c r="L191" s="80" t="s">
        <v>322</v>
      </c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0">
        <f t="shared" si="5"/>
        <v>0</v>
      </c>
      <c r="Y191" s="201"/>
      <c r="Z191" s="199"/>
    </row>
    <row r="192" spans="1:26" ht="45">
      <c r="A192" s="5" t="e">
        <f>_XLL.EVLCK(_XLL.EVAPP(),0,_XLL.EVCVW(_XLL.EVAPP(),"TIME"),_XLL.EVCVW(_XLL.EVAPP(),"C_ENTITY"),"ACTUAL",_XLL.EVCVW(_XLL.EVAPP(),"C_DATATS"))</f>
        <v>#NAME?</v>
      </c>
      <c r="J192" s="33" t="s">
        <v>88</v>
      </c>
      <c r="K192" s="33" t="s">
        <v>323</v>
      </c>
      <c r="L192" s="80" t="s">
        <v>322</v>
      </c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0">
        <f>SUM(M192:W192)</f>
        <v>0</v>
      </c>
      <c r="Y192" s="201"/>
      <c r="Z192" s="199"/>
    </row>
    <row r="193" spans="10:26" ht="45">
      <c r="J193" s="33" t="s">
        <v>88</v>
      </c>
      <c r="K193" s="33" t="s">
        <v>324</v>
      </c>
      <c r="L193" s="80" t="s">
        <v>322</v>
      </c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0">
        <f>SUM(M193:W193)</f>
        <v>0</v>
      </c>
      <c r="Y193" s="201"/>
      <c r="Z193" s="199"/>
    </row>
    <row r="194" spans="10:26" ht="45">
      <c r="J194" s="33" t="s">
        <v>88</v>
      </c>
      <c r="K194" s="33" t="s">
        <v>325</v>
      </c>
      <c r="L194" s="80" t="s">
        <v>322</v>
      </c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0">
        <f>SUM(M194:W194)</f>
        <v>0</v>
      </c>
      <c r="Y194" s="201"/>
      <c r="Z194" s="199"/>
    </row>
    <row r="195" spans="10:26" ht="15">
      <c r="J195" s="33" t="s">
        <v>305</v>
      </c>
      <c r="K195" s="33" t="s">
        <v>326</v>
      </c>
      <c r="L195" s="80" t="s">
        <v>327</v>
      </c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0">
        <f t="shared" si="5"/>
        <v>0</v>
      </c>
      <c r="Y195" s="201"/>
      <c r="Z195" s="199"/>
    </row>
    <row r="196" spans="10:26" ht="15" hidden="1">
      <c r="J196" s="33"/>
      <c r="K196" s="33"/>
      <c r="L196" s="27" t="s">
        <v>327</v>
      </c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0">
        <f>SUM(M196:W196)</f>
        <v>0</v>
      </c>
      <c r="Y196" s="201"/>
      <c r="Z196" s="199"/>
    </row>
    <row r="197" spans="10:26" ht="15">
      <c r="J197" s="33" t="s">
        <v>305</v>
      </c>
      <c r="K197" s="33" t="s">
        <v>275</v>
      </c>
      <c r="L197" s="27" t="s">
        <v>232</v>
      </c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0">
        <f>SUM(M197:W197)</f>
        <v>0</v>
      </c>
      <c r="Y197" s="201"/>
      <c r="Z197" s="199"/>
    </row>
    <row r="198" spans="10:26" ht="15">
      <c r="J198" s="33" t="s">
        <v>305</v>
      </c>
      <c r="K198" s="33" t="s">
        <v>276</v>
      </c>
      <c r="L198" s="27" t="s">
        <v>232</v>
      </c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0">
        <f aca="true" t="shared" si="6" ref="X198:X204">SUM(M198:W198)</f>
        <v>0</v>
      </c>
      <c r="Y198" s="201"/>
      <c r="Z198" s="199"/>
    </row>
    <row r="199" spans="10:26" ht="15">
      <c r="J199" s="33" t="s">
        <v>305</v>
      </c>
      <c r="K199" s="33" t="s">
        <v>277</v>
      </c>
      <c r="L199" s="27" t="s">
        <v>232</v>
      </c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0">
        <f t="shared" si="6"/>
        <v>0</v>
      </c>
      <c r="Y199" s="201"/>
      <c r="Z199" s="199"/>
    </row>
    <row r="200" spans="10:26" ht="15">
      <c r="J200" s="33" t="s">
        <v>305</v>
      </c>
      <c r="K200" s="33" t="s">
        <v>278</v>
      </c>
      <c r="L200" s="27" t="s">
        <v>232</v>
      </c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0">
        <f t="shared" si="6"/>
        <v>0</v>
      </c>
      <c r="Y200" s="201"/>
      <c r="Z200" s="199"/>
    </row>
    <row r="201" spans="10:26" ht="15">
      <c r="J201" s="33" t="s">
        <v>305</v>
      </c>
      <c r="K201" s="33" t="s">
        <v>279</v>
      </c>
      <c r="L201" s="27" t="s">
        <v>232</v>
      </c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0">
        <f t="shared" si="6"/>
        <v>0</v>
      </c>
      <c r="Y201" s="201"/>
      <c r="Z201" s="199"/>
    </row>
    <row r="202" spans="10:26" ht="15">
      <c r="J202" s="33" t="s">
        <v>305</v>
      </c>
      <c r="K202" s="33" t="s">
        <v>280</v>
      </c>
      <c r="L202" s="27" t="s">
        <v>232</v>
      </c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0">
        <f t="shared" si="6"/>
        <v>0</v>
      </c>
      <c r="Y202" s="201"/>
      <c r="Z202" s="199"/>
    </row>
    <row r="203" spans="10:26" ht="15">
      <c r="J203" s="33" t="s">
        <v>305</v>
      </c>
      <c r="K203" s="33" t="s">
        <v>281</v>
      </c>
      <c r="L203" s="27" t="s">
        <v>232</v>
      </c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0">
        <f t="shared" si="6"/>
        <v>0</v>
      </c>
      <c r="Y203" s="201"/>
      <c r="Z203" s="199"/>
    </row>
    <row r="204" spans="10:26" ht="15">
      <c r="J204" s="33" t="s">
        <v>305</v>
      </c>
      <c r="K204" s="33" t="s">
        <v>282</v>
      </c>
      <c r="L204" s="27" t="s">
        <v>232</v>
      </c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0">
        <f t="shared" si="6"/>
        <v>0</v>
      </c>
      <c r="Y204" s="201"/>
      <c r="Z204" s="199"/>
    </row>
    <row r="205" spans="10:26" ht="30">
      <c r="J205" s="33" t="s">
        <v>305</v>
      </c>
      <c r="K205" s="33" t="s">
        <v>328</v>
      </c>
      <c r="L205" s="27" t="s">
        <v>329</v>
      </c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0">
        <f aca="true" t="shared" si="7" ref="X205:X227">SUM(M205:W205)</f>
        <v>0</v>
      </c>
      <c r="Y205" s="201"/>
      <c r="Z205" s="199"/>
    </row>
    <row r="206" spans="10:26" ht="30" hidden="1">
      <c r="J206" s="33"/>
      <c r="K206" s="33"/>
      <c r="L206" s="27" t="s">
        <v>329</v>
      </c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0">
        <f t="shared" si="7"/>
        <v>0</v>
      </c>
      <c r="Y206" s="201"/>
      <c r="Z206" s="199"/>
    </row>
    <row r="207" spans="10:26" ht="30">
      <c r="J207" s="33" t="s">
        <v>88</v>
      </c>
      <c r="K207" s="33" t="s">
        <v>330</v>
      </c>
      <c r="L207" s="27" t="s">
        <v>331</v>
      </c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0">
        <f t="shared" si="7"/>
        <v>0</v>
      </c>
      <c r="Y207" s="201"/>
      <c r="Z207" s="199"/>
    </row>
    <row r="208" spans="10:26" ht="30" hidden="1">
      <c r="J208" s="33"/>
      <c r="K208" s="33"/>
      <c r="L208" s="27" t="s">
        <v>331</v>
      </c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0">
        <f t="shared" si="7"/>
        <v>0</v>
      </c>
      <c r="Y208" s="201"/>
      <c r="Z208" s="199"/>
    </row>
    <row r="209" spans="10:26" ht="30">
      <c r="J209" s="33" t="s">
        <v>305</v>
      </c>
      <c r="K209" s="33" t="s">
        <v>332</v>
      </c>
      <c r="L209" s="27" t="s">
        <v>333</v>
      </c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0">
        <f t="shared" si="7"/>
        <v>0</v>
      </c>
      <c r="Y209" s="201">
        <v>-35534</v>
      </c>
      <c r="Z209" s="199"/>
    </row>
    <row r="210" spans="10:26" ht="30" hidden="1">
      <c r="J210" s="33"/>
      <c r="K210" s="33"/>
      <c r="L210" s="27" t="s">
        <v>333</v>
      </c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0">
        <f t="shared" si="7"/>
        <v>0</v>
      </c>
      <c r="Y210" s="201"/>
      <c r="Z210" s="199"/>
    </row>
    <row r="211" spans="10:26" ht="30">
      <c r="J211" s="33" t="s">
        <v>305</v>
      </c>
      <c r="K211" s="33" t="s">
        <v>283</v>
      </c>
      <c r="L211" s="27" t="s">
        <v>334</v>
      </c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0">
        <f t="shared" si="7"/>
        <v>0</v>
      </c>
      <c r="Y211" s="201"/>
      <c r="Z211" s="199"/>
    </row>
    <row r="212" spans="8:26" ht="30" hidden="1">
      <c r="H212" s="5"/>
      <c r="J212" s="33"/>
      <c r="K212" s="33"/>
      <c r="L212" s="27" t="s">
        <v>334</v>
      </c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203">
        <f t="shared" si="7"/>
        <v>0</v>
      </c>
      <c r="Y212" s="57"/>
      <c r="Z212" s="61"/>
    </row>
    <row r="213" spans="10:26" ht="15">
      <c r="J213" s="33" t="s">
        <v>16</v>
      </c>
      <c r="K213" s="33" t="s">
        <v>284</v>
      </c>
      <c r="L213" s="28" t="s">
        <v>335</v>
      </c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205">
        <f t="shared" si="7"/>
        <v>0</v>
      </c>
      <c r="Y213" s="62"/>
      <c r="Z213" s="62"/>
    </row>
    <row r="214" spans="8:26" ht="15" hidden="1">
      <c r="H214" s="5"/>
      <c r="J214" s="33"/>
      <c r="K214" s="33"/>
      <c r="L214" s="27" t="s">
        <v>335</v>
      </c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204">
        <f t="shared" si="7"/>
        <v>0</v>
      </c>
      <c r="Y214" s="57"/>
      <c r="Z214" s="61"/>
    </row>
    <row r="215" spans="10:26" ht="45">
      <c r="J215" s="33" t="s">
        <v>88</v>
      </c>
      <c r="K215" s="33" t="s">
        <v>336</v>
      </c>
      <c r="L215" s="80" t="s">
        <v>337</v>
      </c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0">
        <f t="shared" si="7"/>
        <v>0</v>
      </c>
      <c r="Y215" s="201"/>
      <c r="Z215" s="199"/>
    </row>
    <row r="216" spans="10:26" ht="45">
      <c r="J216" s="33" t="s">
        <v>88</v>
      </c>
      <c r="K216" s="33" t="s">
        <v>338</v>
      </c>
      <c r="L216" s="80" t="s">
        <v>337</v>
      </c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0">
        <f t="shared" si="7"/>
        <v>0</v>
      </c>
      <c r="Y216" s="201"/>
      <c r="Z216" s="199"/>
    </row>
    <row r="217" spans="10:26" ht="45">
      <c r="J217" s="33" t="s">
        <v>88</v>
      </c>
      <c r="K217" s="33" t="s">
        <v>339</v>
      </c>
      <c r="L217" s="80" t="s">
        <v>337</v>
      </c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0">
        <f t="shared" si="7"/>
        <v>0</v>
      </c>
      <c r="Y217" s="201"/>
      <c r="Z217" s="199"/>
    </row>
    <row r="218" spans="10:26" ht="45">
      <c r="J218" s="33" t="s">
        <v>88</v>
      </c>
      <c r="K218" s="33" t="s">
        <v>340</v>
      </c>
      <c r="L218" s="80" t="s">
        <v>337</v>
      </c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0">
        <f t="shared" si="7"/>
        <v>0</v>
      </c>
      <c r="Y218" s="201"/>
      <c r="Z218" s="199"/>
    </row>
    <row r="219" spans="10:26" ht="30">
      <c r="J219" s="33" t="s">
        <v>305</v>
      </c>
      <c r="K219" s="33" t="s">
        <v>341</v>
      </c>
      <c r="L219" s="80" t="s">
        <v>342</v>
      </c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0">
        <f t="shared" si="7"/>
        <v>0</v>
      </c>
      <c r="Y219" s="201"/>
      <c r="Z219" s="199"/>
    </row>
    <row r="220" spans="10:26" ht="15" hidden="1">
      <c r="J220" s="33"/>
      <c r="K220" s="33"/>
      <c r="L220" s="27" t="s">
        <v>342</v>
      </c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0">
        <f t="shared" si="7"/>
        <v>0</v>
      </c>
      <c r="Y220" s="201"/>
      <c r="Z220" s="199"/>
    </row>
    <row r="221" spans="10:26" ht="30">
      <c r="J221" s="33" t="s">
        <v>305</v>
      </c>
      <c r="K221" s="33" t="s">
        <v>285</v>
      </c>
      <c r="L221" s="27" t="s">
        <v>343</v>
      </c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0">
        <f t="shared" si="7"/>
        <v>0</v>
      </c>
      <c r="Y221" s="201"/>
      <c r="Z221" s="199"/>
    </row>
    <row r="222" spans="10:26" ht="30">
      <c r="J222" s="33" t="s">
        <v>305</v>
      </c>
      <c r="K222" s="33" t="s">
        <v>286</v>
      </c>
      <c r="L222" s="27" t="s">
        <v>343</v>
      </c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0">
        <f t="shared" si="7"/>
        <v>0</v>
      </c>
      <c r="Y222" s="201"/>
      <c r="Z222" s="199"/>
    </row>
    <row r="223" spans="10:26" ht="30">
      <c r="J223" s="33" t="s">
        <v>305</v>
      </c>
      <c r="K223" s="33" t="s">
        <v>287</v>
      </c>
      <c r="L223" s="27" t="s">
        <v>343</v>
      </c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0">
        <f t="shared" si="7"/>
        <v>0</v>
      </c>
      <c r="Y223" s="201"/>
      <c r="Z223" s="199"/>
    </row>
    <row r="224" spans="10:26" ht="30">
      <c r="J224" s="33" t="s">
        <v>305</v>
      </c>
      <c r="K224" s="33" t="s">
        <v>288</v>
      </c>
      <c r="L224" s="27" t="s">
        <v>343</v>
      </c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0">
        <f t="shared" si="7"/>
        <v>0</v>
      </c>
      <c r="Y224" s="201"/>
      <c r="Z224" s="199"/>
    </row>
    <row r="225" spans="10:26" ht="30">
      <c r="J225" s="33" t="s">
        <v>305</v>
      </c>
      <c r="K225" s="33" t="s">
        <v>289</v>
      </c>
      <c r="L225" s="27" t="s">
        <v>343</v>
      </c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0">
        <f t="shared" si="7"/>
        <v>0</v>
      </c>
      <c r="Y225" s="201"/>
      <c r="Z225" s="199"/>
    </row>
    <row r="226" spans="8:28" s="1" customFormat="1" ht="27.75" customHeight="1">
      <c r="H226" s="213"/>
      <c r="J226" s="214" t="s">
        <v>305</v>
      </c>
      <c r="K226" s="214" t="s">
        <v>19</v>
      </c>
      <c r="L226" s="28" t="s">
        <v>482</v>
      </c>
      <c r="M226" s="64">
        <v>21476802</v>
      </c>
      <c r="N226" s="64"/>
      <c r="O226" s="64"/>
      <c r="P226" s="64">
        <v>841018</v>
      </c>
      <c r="Q226" s="64"/>
      <c r="R226" s="64"/>
      <c r="S226" s="64"/>
      <c r="T226" s="64"/>
      <c r="U226" s="64"/>
      <c r="V226" s="64"/>
      <c r="W226" s="64">
        <f>SUM(W175:W225)</f>
        <v>208124</v>
      </c>
      <c r="X226" s="64">
        <f t="shared" si="7"/>
        <v>22525944</v>
      </c>
      <c r="Y226" s="64">
        <f>SUM(Y175:Y225)</f>
        <v>677473</v>
      </c>
      <c r="Z226" s="64">
        <f>X226+Y226</f>
        <v>23203417</v>
      </c>
      <c r="AA226" s="215"/>
      <c r="AB226" s="215"/>
    </row>
    <row r="227" spans="10:26" ht="15" hidden="1">
      <c r="J227" s="33"/>
      <c r="K227" s="33"/>
      <c r="L227" s="27" t="s">
        <v>344</v>
      </c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0">
        <f t="shared" si="7"/>
        <v>0</v>
      </c>
      <c r="Y227" s="201"/>
      <c r="Z227" s="199"/>
    </row>
    <row r="228" spans="12:26" ht="15" hidden="1">
      <c r="L228" s="27" t="s">
        <v>107</v>
      </c>
      <c r="M228" s="202" t="s">
        <v>400</v>
      </c>
      <c r="N228" s="202" t="s">
        <v>400</v>
      </c>
      <c r="O228" s="202" t="s">
        <v>400</v>
      </c>
      <c r="P228" s="202" t="s">
        <v>400</v>
      </c>
      <c r="Q228" s="202" t="s">
        <v>400</v>
      </c>
      <c r="R228" s="202" t="s">
        <v>400</v>
      </c>
      <c r="S228" s="202" t="s">
        <v>400</v>
      </c>
      <c r="T228" s="202" t="s">
        <v>400</v>
      </c>
      <c r="U228" s="202" t="s">
        <v>400</v>
      </c>
      <c r="V228" s="202" t="s">
        <v>400</v>
      </c>
      <c r="W228" s="202" t="s">
        <v>400</v>
      </c>
      <c r="X228" s="141"/>
      <c r="Y228" s="202" t="s">
        <v>400</v>
      </c>
      <c r="Z228" s="202" t="s">
        <v>400</v>
      </c>
    </row>
    <row r="229" spans="12:26" ht="15" hidden="1">
      <c r="L229" s="27" t="s">
        <v>107</v>
      </c>
      <c r="M229" s="202">
        <v>501010000</v>
      </c>
      <c r="N229" s="202">
        <v>503000000</v>
      </c>
      <c r="O229" s="202">
        <v>504000000</v>
      </c>
      <c r="P229" s="202">
        <v>501020000</v>
      </c>
      <c r="Q229" s="202">
        <v>505010000</v>
      </c>
      <c r="R229" s="202">
        <v>505020000</v>
      </c>
      <c r="S229" s="202">
        <v>505030000</v>
      </c>
      <c r="T229" s="202">
        <v>505040000</v>
      </c>
      <c r="U229" s="202">
        <v>505990000</v>
      </c>
      <c r="V229" s="202">
        <v>502000000</v>
      </c>
      <c r="W229" s="202">
        <v>506000000</v>
      </c>
      <c r="X229" s="141"/>
      <c r="Y229" s="202">
        <v>599990000</v>
      </c>
      <c r="Z229" s="202">
        <v>500000000</v>
      </c>
    </row>
    <row r="230" spans="10:26" ht="30">
      <c r="J230" s="33" t="s">
        <v>305</v>
      </c>
      <c r="K230" s="33" t="s">
        <v>345</v>
      </c>
      <c r="L230" s="27" t="s">
        <v>346</v>
      </c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200">
        <f aca="true" t="shared" si="8" ref="X230:X239">SUM(M230:W230)</f>
        <v>0</v>
      </c>
      <c r="Y230" s="199"/>
      <c r="Z230" s="199"/>
    </row>
    <row r="231" spans="10:26" ht="30" hidden="1">
      <c r="J231" s="33"/>
      <c r="K231" s="33"/>
      <c r="L231" s="27" t="s">
        <v>346</v>
      </c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200">
        <f>SUM(M231:W231)</f>
        <v>0</v>
      </c>
      <c r="Y231" s="199"/>
      <c r="Z231" s="199"/>
    </row>
    <row r="232" spans="10:26" ht="45">
      <c r="J232" s="33" t="s">
        <v>305</v>
      </c>
      <c r="K232" s="33" t="s">
        <v>290</v>
      </c>
      <c r="L232" s="27" t="s">
        <v>347</v>
      </c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200">
        <f t="shared" si="8"/>
        <v>0</v>
      </c>
      <c r="Y232" s="199"/>
      <c r="Z232" s="199"/>
    </row>
    <row r="233" spans="10:26" ht="45">
      <c r="J233" s="33" t="s">
        <v>305</v>
      </c>
      <c r="K233" s="33" t="s">
        <v>291</v>
      </c>
      <c r="L233" s="27" t="s">
        <v>347</v>
      </c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200">
        <f>SUM(M233:W233)</f>
        <v>0</v>
      </c>
      <c r="Y233" s="199"/>
      <c r="Z233" s="199"/>
    </row>
    <row r="234" spans="10:26" ht="45">
      <c r="J234" s="33" t="s">
        <v>305</v>
      </c>
      <c r="K234" s="33" t="s">
        <v>292</v>
      </c>
      <c r="L234" s="27" t="s">
        <v>347</v>
      </c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200">
        <f>SUM(M234:W234)</f>
        <v>0</v>
      </c>
      <c r="Y234" s="199"/>
      <c r="Z234" s="199"/>
    </row>
    <row r="235" spans="10:26" ht="30">
      <c r="J235" s="33" t="s">
        <v>305</v>
      </c>
      <c r="K235" s="33" t="s">
        <v>20</v>
      </c>
      <c r="L235" s="28" t="s">
        <v>426</v>
      </c>
      <c r="M235" s="64">
        <v>21476802</v>
      </c>
      <c r="N235" s="64"/>
      <c r="O235" s="64"/>
      <c r="P235" s="64">
        <v>841018</v>
      </c>
      <c r="Q235" s="64"/>
      <c r="R235" s="64"/>
      <c r="S235" s="64"/>
      <c r="T235" s="64"/>
      <c r="U235" s="64"/>
      <c r="V235" s="64"/>
      <c r="W235" s="64">
        <v>10159254</v>
      </c>
      <c r="X235" s="78">
        <f t="shared" si="8"/>
        <v>32477074</v>
      </c>
      <c r="Y235" s="64">
        <v>691530</v>
      </c>
      <c r="Z235" s="64">
        <f>X235+Y235</f>
        <v>33168604</v>
      </c>
    </row>
    <row r="236" spans="10:26" ht="15" hidden="1">
      <c r="J236" s="33"/>
      <c r="K236" s="33"/>
      <c r="L236" s="27" t="s">
        <v>348</v>
      </c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78">
        <f>SUM(M236:W236)</f>
        <v>0</v>
      </c>
      <c r="Y236" s="61"/>
      <c r="Z236" s="61"/>
    </row>
    <row r="237" spans="10:26" ht="15">
      <c r="J237" s="33" t="s">
        <v>305</v>
      </c>
      <c r="K237" s="33" t="s">
        <v>307</v>
      </c>
      <c r="L237" s="27" t="s">
        <v>308</v>
      </c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>
        <f>'Ф2'!E39</f>
        <v>-1898991</v>
      </c>
      <c r="X237" s="200">
        <f t="shared" si="8"/>
        <v>-1898991</v>
      </c>
      <c r="Y237" s="199">
        <v>47077</v>
      </c>
      <c r="Z237" s="199">
        <f>X237+Y237</f>
        <v>-1851914</v>
      </c>
    </row>
    <row r="238" spans="10:26" ht="15" hidden="1">
      <c r="J238" s="33"/>
      <c r="K238" s="33"/>
      <c r="L238" s="27" t="s">
        <v>308</v>
      </c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200">
        <f>SUM(M238:W238)</f>
        <v>0</v>
      </c>
      <c r="Y238" s="199"/>
      <c r="Z238" s="199"/>
    </row>
    <row r="239" spans="10:26" ht="15">
      <c r="J239" s="33" t="s">
        <v>305</v>
      </c>
      <c r="K239" s="33" t="s">
        <v>309</v>
      </c>
      <c r="L239" s="27" t="s">
        <v>310</v>
      </c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200">
        <f t="shared" si="8"/>
        <v>0</v>
      </c>
      <c r="Y239" s="199"/>
      <c r="Z239" s="199"/>
    </row>
    <row r="240" spans="10:26" ht="15" hidden="1">
      <c r="J240" s="33"/>
      <c r="K240" s="33"/>
      <c r="L240" s="27" t="s">
        <v>310</v>
      </c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200">
        <f>SUM(M240:W240)</f>
        <v>0</v>
      </c>
      <c r="Y240" s="199"/>
      <c r="Z240" s="199"/>
    </row>
    <row r="241" spans="10:26" ht="30">
      <c r="J241" s="33" t="s">
        <v>305</v>
      </c>
      <c r="K241" s="33" t="s">
        <v>311</v>
      </c>
      <c r="L241" s="27" t="s">
        <v>312</v>
      </c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200">
        <f aca="true" t="shared" si="9" ref="X241:X247">SUM(M241:W241)</f>
        <v>0</v>
      </c>
      <c r="Y241" s="199"/>
      <c r="Z241" s="199"/>
    </row>
    <row r="242" spans="10:26" ht="30" hidden="1">
      <c r="J242" s="33"/>
      <c r="K242" s="33"/>
      <c r="L242" s="27" t="s">
        <v>312</v>
      </c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200">
        <f>SUM(M242:W242)</f>
        <v>0</v>
      </c>
      <c r="Y242" s="199"/>
      <c r="Z242" s="199"/>
    </row>
    <row r="243" spans="10:26" ht="45">
      <c r="J243" s="33" t="s">
        <v>305</v>
      </c>
      <c r="K243" s="33" t="s">
        <v>313</v>
      </c>
      <c r="L243" s="27" t="s">
        <v>314</v>
      </c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200">
        <f t="shared" si="9"/>
        <v>0</v>
      </c>
      <c r="Y243" s="199"/>
      <c r="Z243" s="199"/>
    </row>
    <row r="244" spans="10:26" ht="45" hidden="1">
      <c r="J244" s="33"/>
      <c r="K244" s="33"/>
      <c r="L244" s="27" t="s">
        <v>314</v>
      </c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200">
        <f>SUM(M244:W244)</f>
        <v>0</v>
      </c>
      <c r="Y244" s="199"/>
      <c r="Z244" s="199"/>
    </row>
    <row r="245" spans="10:26" ht="15">
      <c r="J245" s="33" t="s">
        <v>305</v>
      </c>
      <c r="K245" s="33" t="s">
        <v>315</v>
      </c>
      <c r="L245" s="27" t="s">
        <v>316</v>
      </c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200">
        <f t="shared" si="9"/>
        <v>0</v>
      </c>
      <c r="Y245" s="199"/>
      <c r="Z245" s="199"/>
    </row>
    <row r="246" spans="10:26" ht="15" hidden="1">
      <c r="J246" s="33"/>
      <c r="K246" s="33"/>
      <c r="L246" s="27" t="s">
        <v>316</v>
      </c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200">
        <f>SUM(M246:W246)</f>
        <v>0</v>
      </c>
      <c r="Y246" s="199"/>
      <c r="Z246" s="199"/>
    </row>
    <row r="247" spans="10:26" ht="30">
      <c r="J247" s="33" t="s">
        <v>305</v>
      </c>
      <c r="K247" s="33" t="s">
        <v>317</v>
      </c>
      <c r="L247" s="27" t="s">
        <v>318</v>
      </c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200">
        <f t="shared" si="9"/>
        <v>0</v>
      </c>
      <c r="Y247" s="199"/>
      <c r="Z247" s="199"/>
    </row>
    <row r="248" spans="10:26" ht="30" hidden="1">
      <c r="J248" s="33"/>
      <c r="K248" s="33"/>
      <c r="L248" s="27" t="s">
        <v>318</v>
      </c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79">
        <f>SUM(M248:W248)</f>
        <v>0</v>
      </c>
      <c r="Y248" s="61"/>
      <c r="Z248" s="61"/>
    </row>
    <row r="249" spans="10:26" ht="15">
      <c r="J249" s="33" t="s">
        <v>16</v>
      </c>
      <c r="K249" s="33" t="s">
        <v>319</v>
      </c>
      <c r="L249" s="28" t="s">
        <v>320</v>
      </c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78">
        <f aca="true" t="shared" si="10" ref="X249:X255">SUM(M249:W249)</f>
        <v>0</v>
      </c>
      <c r="Y249" s="62"/>
      <c r="Z249" s="62"/>
    </row>
    <row r="250" spans="10:26" ht="15" hidden="1">
      <c r="J250" s="33"/>
      <c r="K250" s="33"/>
      <c r="L250" s="27" t="s">
        <v>320</v>
      </c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78">
        <f>SUM(M250:W250)</f>
        <v>0</v>
      </c>
      <c r="Y250" s="61"/>
      <c r="Z250" s="61"/>
    </row>
    <row r="251" spans="3:26" ht="30">
      <c r="C251" s="52" t="s">
        <v>107</v>
      </c>
      <c r="J251" s="33" t="s">
        <v>88</v>
      </c>
      <c r="K251" s="33" t="s">
        <v>321</v>
      </c>
      <c r="L251" s="27" t="s">
        <v>322</v>
      </c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200">
        <f t="shared" si="10"/>
        <v>0</v>
      </c>
      <c r="Y251" s="199"/>
      <c r="Z251" s="199"/>
    </row>
    <row r="252" spans="3:26" ht="30">
      <c r="C252" s="52" t="s">
        <v>107</v>
      </c>
      <c r="J252" s="33" t="s">
        <v>88</v>
      </c>
      <c r="K252" s="33" t="s">
        <v>323</v>
      </c>
      <c r="L252" s="27" t="s">
        <v>322</v>
      </c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200">
        <f>SUM(M252:W252)</f>
        <v>0</v>
      </c>
      <c r="Y252" s="199"/>
      <c r="Z252" s="199"/>
    </row>
    <row r="253" spans="3:26" ht="30">
      <c r="C253" s="52" t="s">
        <v>107</v>
      </c>
      <c r="J253" s="33" t="s">
        <v>88</v>
      </c>
      <c r="K253" s="33" t="s">
        <v>324</v>
      </c>
      <c r="L253" s="27" t="s">
        <v>322</v>
      </c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200">
        <f>SUM(M253:W253)</f>
        <v>0</v>
      </c>
      <c r="Y253" s="199"/>
      <c r="Z253" s="199"/>
    </row>
    <row r="254" spans="3:26" ht="30">
      <c r="C254" s="52" t="s">
        <v>107</v>
      </c>
      <c r="J254" s="33" t="s">
        <v>88</v>
      </c>
      <c r="K254" s="33" t="s">
        <v>325</v>
      </c>
      <c r="L254" s="27" t="s">
        <v>322</v>
      </c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200">
        <f>SUM(M254:W254)</f>
        <v>0</v>
      </c>
      <c r="Y254" s="199"/>
      <c r="Z254" s="199"/>
    </row>
    <row r="255" spans="3:26" ht="15">
      <c r="C255" s="52" t="s">
        <v>107</v>
      </c>
      <c r="J255" s="33" t="s">
        <v>305</v>
      </c>
      <c r="K255" s="33" t="s">
        <v>326</v>
      </c>
      <c r="L255" s="27" t="s">
        <v>327</v>
      </c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200">
        <f t="shared" si="10"/>
        <v>0</v>
      </c>
      <c r="Y255" s="199"/>
      <c r="Z255" s="199"/>
    </row>
    <row r="256" spans="3:26" ht="15" hidden="1">
      <c r="C256" s="52" t="s">
        <v>107</v>
      </c>
      <c r="J256" s="33"/>
      <c r="K256" s="33"/>
      <c r="L256" s="27" t="s">
        <v>327</v>
      </c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200">
        <f>SUM(M256:W256)</f>
        <v>0</v>
      </c>
      <c r="Y256" s="199"/>
      <c r="Z256" s="199"/>
    </row>
    <row r="257" spans="3:26" ht="15">
      <c r="C257" s="52" t="s">
        <v>107</v>
      </c>
      <c r="J257" s="33" t="s">
        <v>305</v>
      </c>
      <c r="K257" s="33" t="s">
        <v>275</v>
      </c>
      <c r="L257" s="27" t="s">
        <v>232</v>
      </c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200">
        <f>SUM(M257:W257)</f>
        <v>0</v>
      </c>
      <c r="Y257" s="199"/>
      <c r="Z257" s="199"/>
    </row>
    <row r="258" spans="3:26" ht="15">
      <c r="C258" s="52" t="s">
        <v>107</v>
      </c>
      <c r="J258" s="33" t="s">
        <v>305</v>
      </c>
      <c r="K258" s="33" t="s">
        <v>276</v>
      </c>
      <c r="L258" s="27" t="s">
        <v>232</v>
      </c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200">
        <f aca="true" t="shared" si="11" ref="X258:X264">SUM(M258:W258)</f>
        <v>0</v>
      </c>
      <c r="Y258" s="199"/>
      <c r="Z258" s="199"/>
    </row>
    <row r="259" spans="10:26" ht="15">
      <c r="J259" s="33" t="s">
        <v>305</v>
      </c>
      <c r="K259" s="33" t="s">
        <v>277</v>
      </c>
      <c r="L259" s="27" t="s">
        <v>232</v>
      </c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200">
        <f t="shared" si="11"/>
        <v>0</v>
      </c>
      <c r="Y259" s="199"/>
      <c r="Z259" s="199"/>
    </row>
    <row r="260" spans="10:26" ht="15">
      <c r="J260" s="33" t="s">
        <v>305</v>
      </c>
      <c r="K260" s="33" t="s">
        <v>278</v>
      </c>
      <c r="L260" s="27" t="s">
        <v>232</v>
      </c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200">
        <f t="shared" si="11"/>
        <v>0</v>
      </c>
      <c r="Y260" s="199"/>
      <c r="Z260" s="199"/>
    </row>
    <row r="261" spans="10:26" ht="15">
      <c r="J261" s="33" t="s">
        <v>305</v>
      </c>
      <c r="K261" s="33" t="s">
        <v>279</v>
      </c>
      <c r="L261" s="27" t="s">
        <v>232</v>
      </c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200">
        <f t="shared" si="11"/>
        <v>0</v>
      </c>
      <c r="Y261" s="199"/>
      <c r="Z261" s="199"/>
    </row>
    <row r="262" spans="10:26" ht="15">
      <c r="J262" s="33" t="s">
        <v>305</v>
      </c>
      <c r="K262" s="33" t="s">
        <v>280</v>
      </c>
      <c r="L262" s="27" t="s">
        <v>232</v>
      </c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200">
        <f t="shared" si="11"/>
        <v>0</v>
      </c>
      <c r="Y262" s="199"/>
      <c r="Z262" s="199"/>
    </row>
    <row r="263" spans="10:26" ht="15">
      <c r="J263" s="33" t="s">
        <v>305</v>
      </c>
      <c r="K263" s="33" t="s">
        <v>281</v>
      </c>
      <c r="L263" s="27" t="s">
        <v>232</v>
      </c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200">
        <f t="shared" si="11"/>
        <v>0</v>
      </c>
      <c r="Y263" s="199"/>
      <c r="Z263" s="199"/>
    </row>
    <row r="264" spans="10:26" ht="15">
      <c r="J264" s="33" t="s">
        <v>305</v>
      </c>
      <c r="K264" s="33" t="s">
        <v>282</v>
      </c>
      <c r="L264" s="27" t="s">
        <v>232</v>
      </c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200">
        <f t="shared" si="11"/>
        <v>0</v>
      </c>
      <c r="Y264" s="199"/>
      <c r="Z264" s="199"/>
    </row>
    <row r="265" spans="10:26" ht="30">
      <c r="J265" s="33" t="s">
        <v>305</v>
      </c>
      <c r="K265" s="33" t="s">
        <v>328</v>
      </c>
      <c r="L265" s="27" t="s">
        <v>329</v>
      </c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200">
        <f aca="true" t="shared" si="12" ref="X265:X287">SUM(M265:W265)</f>
        <v>0</v>
      </c>
      <c r="Y265" s="199"/>
      <c r="Z265" s="199"/>
    </row>
    <row r="266" spans="10:26" ht="30" hidden="1">
      <c r="J266" s="33"/>
      <c r="K266" s="33"/>
      <c r="L266" s="27" t="s">
        <v>329</v>
      </c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200">
        <f t="shared" si="12"/>
        <v>0</v>
      </c>
      <c r="Y266" s="199"/>
      <c r="Z266" s="199"/>
    </row>
    <row r="267" spans="10:26" ht="30">
      <c r="J267" s="33" t="s">
        <v>88</v>
      </c>
      <c r="K267" s="33" t="s">
        <v>330</v>
      </c>
      <c r="L267" s="27" t="s">
        <v>331</v>
      </c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>
        <v>-140336</v>
      </c>
      <c r="X267" s="200">
        <f t="shared" si="12"/>
        <v>-140336</v>
      </c>
      <c r="Y267" s="199"/>
      <c r="Z267" s="199">
        <f>X267+Y267</f>
        <v>-140336</v>
      </c>
    </row>
    <row r="268" spans="10:26" ht="30" hidden="1">
      <c r="J268" s="33"/>
      <c r="K268" s="33"/>
      <c r="L268" s="27" t="s">
        <v>331</v>
      </c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200">
        <f t="shared" si="12"/>
        <v>0</v>
      </c>
      <c r="Y268" s="199"/>
      <c r="Z268" s="199"/>
    </row>
    <row r="269" spans="10:26" ht="30">
      <c r="J269" s="33" t="s">
        <v>305</v>
      </c>
      <c r="K269" s="33" t="s">
        <v>332</v>
      </c>
      <c r="L269" s="27" t="s">
        <v>333</v>
      </c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200">
        <f t="shared" si="12"/>
        <v>0</v>
      </c>
      <c r="Y269" s="199"/>
      <c r="Z269" s="199"/>
    </row>
    <row r="270" spans="10:26" ht="30" hidden="1">
      <c r="J270" s="33"/>
      <c r="K270" s="33"/>
      <c r="L270" s="27" t="s">
        <v>333</v>
      </c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200">
        <f t="shared" si="12"/>
        <v>0</v>
      </c>
      <c r="Y270" s="199"/>
      <c r="Z270" s="199"/>
    </row>
    <row r="271" spans="10:26" ht="30">
      <c r="J271" s="33" t="s">
        <v>305</v>
      </c>
      <c r="K271" s="33" t="s">
        <v>283</v>
      </c>
      <c r="L271" s="27" t="s">
        <v>334</v>
      </c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200">
        <f t="shared" si="12"/>
        <v>0</v>
      </c>
      <c r="Y271" s="199"/>
      <c r="Z271" s="199"/>
    </row>
    <row r="272" spans="10:26" ht="30" hidden="1">
      <c r="J272" s="33"/>
      <c r="K272" s="33"/>
      <c r="L272" s="27" t="s">
        <v>334</v>
      </c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79">
        <f t="shared" si="12"/>
        <v>0</v>
      </c>
      <c r="Y272" s="61"/>
      <c r="Z272" s="61"/>
    </row>
    <row r="273" spans="10:26" ht="15">
      <c r="J273" s="33" t="s">
        <v>16</v>
      </c>
      <c r="K273" s="33" t="s">
        <v>284</v>
      </c>
      <c r="L273" s="28" t="s">
        <v>335</v>
      </c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78">
        <f t="shared" si="12"/>
        <v>0</v>
      </c>
      <c r="Y273" s="62"/>
      <c r="Z273" s="62"/>
    </row>
    <row r="274" spans="10:26" ht="15" hidden="1">
      <c r="J274" s="33"/>
      <c r="K274" s="33"/>
      <c r="L274" s="27" t="s">
        <v>335</v>
      </c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78">
        <f t="shared" si="12"/>
        <v>0</v>
      </c>
      <c r="Y274" s="61"/>
      <c r="Z274" s="61"/>
    </row>
    <row r="275" spans="10:26" ht="30">
      <c r="J275" s="33" t="s">
        <v>88</v>
      </c>
      <c r="K275" s="33" t="s">
        <v>336</v>
      </c>
      <c r="L275" s="27" t="s">
        <v>337</v>
      </c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200">
        <f t="shared" si="12"/>
        <v>0</v>
      </c>
      <c r="Y275" s="199"/>
      <c r="Z275" s="199"/>
    </row>
    <row r="276" spans="10:26" ht="30">
      <c r="J276" s="33" t="s">
        <v>88</v>
      </c>
      <c r="K276" s="33" t="s">
        <v>338</v>
      </c>
      <c r="L276" s="27" t="s">
        <v>337</v>
      </c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200">
        <f t="shared" si="12"/>
        <v>0</v>
      </c>
      <c r="Y276" s="199"/>
      <c r="Z276" s="199"/>
    </row>
    <row r="277" spans="10:26" ht="30">
      <c r="J277" s="33" t="s">
        <v>88</v>
      </c>
      <c r="K277" s="33" t="s">
        <v>339</v>
      </c>
      <c r="L277" s="27" t="s">
        <v>337</v>
      </c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200">
        <f t="shared" si="12"/>
        <v>0</v>
      </c>
      <c r="Y277" s="199"/>
      <c r="Z277" s="199"/>
    </row>
    <row r="278" spans="10:26" ht="30">
      <c r="J278" s="33" t="s">
        <v>88</v>
      </c>
      <c r="K278" s="33" t="s">
        <v>340</v>
      </c>
      <c r="L278" s="27" t="s">
        <v>337</v>
      </c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200">
        <f t="shared" si="12"/>
        <v>0</v>
      </c>
      <c r="Y278" s="199"/>
      <c r="Z278" s="199"/>
    </row>
    <row r="279" spans="10:26" ht="15">
      <c r="J279" s="33" t="s">
        <v>305</v>
      </c>
      <c r="K279" s="33" t="s">
        <v>341</v>
      </c>
      <c r="L279" s="27" t="s">
        <v>342</v>
      </c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200">
        <f t="shared" si="12"/>
        <v>0</v>
      </c>
      <c r="Y279" s="199"/>
      <c r="Z279" s="199"/>
    </row>
    <row r="280" spans="10:26" ht="15" hidden="1">
      <c r="J280" s="33"/>
      <c r="K280" s="33"/>
      <c r="L280" s="27" t="s">
        <v>342</v>
      </c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200">
        <f t="shared" si="12"/>
        <v>0</v>
      </c>
      <c r="Y280" s="199"/>
      <c r="Z280" s="199"/>
    </row>
    <row r="281" spans="10:26" ht="30">
      <c r="J281" s="33" t="s">
        <v>305</v>
      </c>
      <c r="K281" s="33" t="s">
        <v>285</v>
      </c>
      <c r="L281" s="27" t="s">
        <v>343</v>
      </c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200">
        <f t="shared" si="12"/>
        <v>0</v>
      </c>
      <c r="Y281" s="199"/>
      <c r="Z281" s="199"/>
    </row>
    <row r="282" spans="10:26" ht="30">
      <c r="J282" s="33" t="s">
        <v>305</v>
      </c>
      <c r="K282" s="33" t="s">
        <v>286</v>
      </c>
      <c r="L282" s="27" t="s">
        <v>343</v>
      </c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200">
        <f t="shared" si="12"/>
        <v>0</v>
      </c>
      <c r="Y282" s="199"/>
      <c r="Z282" s="199"/>
    </row>
    <row r="283" spans="10:26" ht="30">
      <c r="J283" s="33" t="s">
        <v>305</v>
      </c>
      <c r="K283" s="33" t="s">
        <v>287</v>
      </c>
      <c r="L283" s="27" t="s">
        <v>343</v>
      </c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200">
        <f t="shared" si="12"/>
        <v>0</v>
      </c>
      <c r="Y283" s="199"/>
      <c r="Z283" s="199"/>
    </row>
    <row r="284" spans="10:26" ht="30">
      <c r="J284" s="33" t="s">
        <v>305</v>
      </c>
      <c r="K284" s="33" t="s">
        <v>288</v>
      </c>
      <c r="L284" s="27" t="s">
        <v>343</v>
      </c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200">
        <f t="shared" si="12"/>
        <v>0</v>
      </c>
      <c r="Y284" s="199"/>
      <c r="Z284" s="199"/>
    </row>
    <row r="285" spans="10:26" ht="30">
      <c r="J285" s="33" t="s">
        <v>305</v>
      </c>
      <c r="K285" s="33" t="s">
        <v>289</v>
      </c>
      <c r="L285" s="206" t="s">
        <v>343</v>
      </c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8">
        <f t="shared" si="12"/>
        <v>0</v>
      </c>
      <c r="Y285" s="207"/>
      <c r="Z285" s="207"/>
    </row>
    <row r="286" spans="10:26" ht="30">
      <c r="J286" s="33" t="s">
        <v>305</v>
      </c>
      <c r="K286" s="33" t="s">
        <v>19</v>
      </c>
      <c r="L286" s="211" t="s">
        <v>481</v>
      </c>
      <c r="M286" s="212">
        <f>SUM(M235:M285)</f>
        <v>21476802</v>
      </c>
      <c r="N286" s="212">
        <f aca="true" t="shared" si="13" ref="N286:Z286">SUM(N235:N285)</f>
        <v>0</v>
      </c>
      <c r="O286" s="212">
        <f t="shared" si="13"/>
        <v>0</v>
      </c>
      <c r="P286" s="212">
        <f t="shared" si="13"/>
        <v>841018</v>
      </c>
      <c r="Q286" s="212">
        <f t="shared" si="13"/>
        <v>0</v>
      </c>
      <c r="R286" s="212">
        <f t="shared" si="13"/>
        <v>0</v>
      </c>
      <c r="S286" s="212">
        <f t="shared" si="13"/>
        <v>0</v>
      </c>
      <c r="T286" s="212">
        <f t="shared" si="13"/>
        <v>0</v>
      </c>
      <c r="U286" s="212">
        <f t="shared" si="13"/>
        <v>0</v>
      </c>
      <c r="V286" s="212">
        <f t="shared" si="13"/>
        <v>0</v>
      </c>
      <c r="W286" s="212">
        <f t="shared" si="13"/>
        <v>8119927</v>
      </c>
      <c r="X286" s="212">
        <f t="shared" si="13"/>
        <v>30437747</v>
      </c>
      <c r="Y286" s="212">
        <f t="shared" si="13"/>
        <v>738607</v>
      </c>
      <c r="Z286" s="212">
        <f t="shared" si="13"/>
        <v>31176354</v>
      </c>
    </row>
    <row r="287" spans="10:26" ht="15" hidden="1">
      <c r="J287" s="33"/>
      <c r="K287" s="33"/>
      <c r="L287" s="209" t="s">
        <v>349</v>
      </c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04">
        <f t="shared" si="12"/>
        <v>0</v>
      </c>
      <c r="Y287" s="210"/>
      <c r="Z287" s="210"/>
    </row>
    <row r="288" spans="3:26" ht="15">
      <c r="C288" s="52" t="s">
        <v>107</v>
      </c>
      <c r="Z288" s="107"/>
    </row>
    <row r="289" spans="3:13" ht="15">
      <c r="C289" s="52" t="s">
        <v>107</v>
      </c>
      <c r="L289" s="102"/>
      <c r="M289" s="103"/>
    </row>
    <row r="290" spans="3:13" ht="32.25" customHeight="1">
      <c r="C290" s="52" t="s">
        <v>107</v>
      </c>
      <c r="L290" s="102" t="s">
        <v>410</v>
      </c>
      <c r="M290" s="103"/>
    </row>
    <row r="291" spans="3:13" ht="15">
      <c r="C291" s="52" t="s">
        <v>107</v>
      </c>
      <c r="L291" s="102" t="s">
        <v>484</v>
      </c>
      <c r="M291" s="4"/>
    </row>
    <row r="292" spans="3:13" ht="15">
      <c r="C292" s="52"/>
      <c r="L292" s="102"/>
      <c r="M292" s="4"/>
    </row>
    <row r="293" spans="3:12" ht="15">
      <c r="C293" s="52" t="s">
        <v>107</v>
      </c>
      <c r="L293" s="102"/>
    </row>
    <row r="294" ht="15">
      <c r="L294" s="102" t="s">
        <v>478</v>
      </c>
    </row>
    <row r="295" ht="15">
      <c r="L295" s="102"/>
    </row>
    <row r="297" ht="15">
      <c r="L297" s="102" t="s">
        <v>419</v>
      </c>
    </row>
  </sheetData>
  <sheetProtection/>
  <mergeCells count="32">
    <mergeCell ref="B181:G181"/>
    <mergeCell ref="B182:G182"/>
    <mergeCell ref="B172:G172"/>
    <mergeCell ref="B173:G173"/>
    <mergeCell ref="B174:G174"/>
    <mergeCell ref="B178:G178"/>
    <mergeCell ref="B179:G179"/>
    <mergeCell ref="B180:G180"/>
    <mergeCell ref="B166:G166"/>
    <mergeCell ref="B168:G168"/>
    <mergeCell ref="B169:G169"/>
    <mergeCell ref="B170:G170"/>
    <mergeCell ref="B171:G171"/>
    <mergeCell ref="M171:X171"/>
    <mergeCell ref="B156:G156"/>
    <mergeCell ref="B157:G157"/>
    <mergeCell ref="B158:G158"/>
    <mergeCell ref="B160:G160"/>
    <mergeCell ref="B161:G161"/>
    <mergeCell ref="B162:G162"/>
    <mergeCell ref="B148:G148"/>
    <mergeCell ref="B149:G149"/>
    <mergeCell ref="B152:G152"/>
    <mergeCell ref="B153:G153"/>
    <mergeCell ref="B154:G154"/>
    <mergeCell ref="B155:G155"/>
    <mergeCell ref="B142:G142"/>
    <mergeCell ref="B143:G143"/>
    <mergeCell ref="B144:G144"/>
    <mergeCell ref="B145:G145"/>
    <mergeCell ref="B146:G146"/>
    <mergeCell ref="B147:G147"/>
  </mergeCells>
  <conditionalFormatting sqref="C78 C81 C87 C67 X175 X235">
    <cfRule type="expression" priority="396" dxfId="0" stopIfTrue="1">
      <formula>IF(ISERROR(SEARCH(C$173,'Ф4'!#REF!,1)),0,1)</formula>
    </cfRule>
  </conditionalFormatting>
  <conditionalFormatting sqref="Y219:Y220">
    <cfRule type="expression" priority="110" dxfId="0" stopIfTrue="1">
      <formula>IF(ISERROR(SEARCH(Y$173,'Ф4'!#REF!,1)),0,1)</formula>
    </cfRule>
  </conditionalFormatting>
  <conditionalFormatting sqref="Y221:Y225">
    <cfRule type="expression" priority="109" dxfId="0" stopIfTrue="1">
      <formula>IF(ISERROR(SEARCH(Y$173,'Ф4'!#REF!,1)),0,1)</formula>
    </cfRule>
  </conditionalFormatting>
  <conditionalFormatting sqref="X176">
    <cfRule type="expression" priority="252" dxfId="0" stopIfTrue="1">
      <formula>IF(ISERROR(SEARCH(X$173,'Ф4'!#REF!,1)),0,1)</formula>
    </cfRule>
  </conditionalFormatting>
  <conditionalFormatting sqref="Z176">
    <cfRule type="expression" priority="107" dxfId="0" stopIfTrue="1">
      <formula>IF(ISERROR(SEARCH(Z$173,'Ф4'!#REF!,1)),0,1)</formula>
    </cfRule>
  </conditionalFormatting>
  <conditionalFormatting sqref="Z177:Z178">
    <cfRule type="expression" priority="106" dxfId="0" stopIfTrue="1">
      <formula>IF(ISERROR(SEARCH(Z$173,'Ф4'!#REF!,1)),0,1)</formula>
    </cfRule>
  </conditionalFormatting>
  <conditionalFormatting sqref="Z179:Z180">
    <cfRule type="expression" priority="105" dxfId="0" stopIfTrue="1">
      <formula>IF(ISERROR(SEARCH(Z$173,'Ф4'!#REF!,1)),0,1)</formula>
    </cfRule>
  </conditionalFormatting>
  <conditionalFormatting sqref="Z181:Z182">
    <cfRule type="expression" priority="104" dxfId="0" stopIfTrue="1">
      <formula>IF(ISERROR(SEARCH(Z$173,'Ф4'!#REF!,1)),0,1)</formula>
    </cfRule>
  </conditionalFormatting>
  <conditionalFormatting sqref="Z183:Z184">
    <cfRule type="expression" priority="103" dxfId="0" stopIfTrue="1">
      <formula>IF(ISERROR(SEARCH(Z$173,'Ф4'!#REF!,1)),0,1)</formula>
    </cfRule>
  </conditionalFormatting>
  <conditionalFormatting sqref="Z185:Z186">
    <cfRule type="expression" priority="102" dxfId="0" stopIfTrue="1">
      <formula>IF(ISERROR(SEARCH(Z$173,'Ф4'!#REF!,1)),0,1)</formula>
    </cfRule>
  </conditionalFormatting>
  <conditionalFormatting sqref="Z187:Z188">
    <cfRule type="expression" priority="101" dxfId="0" stopIfTrue="1">
      <formula>IF(ISERROR(SEARCH(Z$173,'Ф4'!#REF!,1)),0,1)</formula>
    </cfRule>
  </conditionalFormatting>
  <conditionalFormatting sqref="Z190">
    <cfRule type="expression" priority="100" dxfId="0" stopIfTrue="1">
      <formula>IF(ISERROR(SEARCH(Z$173,'Ф4'!#REF!,1)),0,1)</formula>
    </cfRule>
  </conditionalFormatting>
  <conditionalFormatting sqref="Z191:Z194">
    <cfRule type="expression" priority="99" dxfId="0" stopIfTrue="1">
      <formula>IF(ISERROR(SEARCH(Z$173,'Ф4'!#REF!,1)),0,1)</formula>
    </cfRule>
  </conditionalFormatting>
  <conditionalFormatting sqref="Z195:Z196">
    <cfRule type="expression" priority="98" dxfId="0" stopIfTrue="1">
      <formula>IF(ISERROR(SEARCH(Z$173,'Ф4'!#REF!,1)),0,1)</formula>
    </cfRule>
  </conditionalFormatting>
  <conditionalFormatting sqref="Z197:Z204">
    <cfRule type="expression" priority="97" dxfId="0" stopIfTrue="1">
      <formula>IF(ISERROR(SEARCH(Z$173,'Ф4'!#REF!,1)),0,1)</formula>
    </cfRule>
  </conditionalFormatting>
  <conditionalFormatting sqref="Z205:Z206">
    <cfRule type="expression" priority="96" dxfId="0" stopIfTrue="1">
      <formula>IF(ISERROR(SEARCH(Z$173,'Ф4'!#REF!,1)),0,1)</formula>
    </cfRule>
  </conditionalFormatting>
  <conditionalFormatting sqref="Z207:Z208">
    <cfRule type="expression" priority="95" dxfId="0" stopIfTrue="1">
      <formula>IF(ISERROR(SEARCH(Z$173,'Ф4'!#REF!,1)),0,1)</formula>
    </cfRule>
  </conditionalFormatting>
  <conditionalFormatting sqref="Z209:Z210">
    <cfRule type="expression" priority="94" dxfId="0" stopIfTrue="1">
      <formula>IF(ISERROR(SEARCH(Z$173,'Ф4'!#REF!,1)),0,1)</formula>
    </cfRule>
  </conditionalFormatting>
  <conditionalFormatting sqref="Z211:Z212">
    <cfRule type="expression" priority="93" dxfId="0" stopIfTrue="1">
      <formula>IF(ISERROR(SEARCH(Z$173,'Ф4'!#REF!,1)),0,1)</formula>
    </cfRule>
  </conditionalFormatting>
  <conditionalFormatting sqref="Z214">
    <cfRule type="expression" priority="92" dxfId="0" stopIfTrue="1">
      <formula>IF(ISERROR(SEARCH(Z$173,'Ф4'!#REF!,1)),0,1)</formula>
    </cfRule>
  </conditionalFormatting>
  <conditionalFormatting sqref="Z215:Z218">
    <cfRule type="expression" priority="91" dxfId="0" stopIfTrue="1">
      <formula>IF(ISERROR(SEARCH(Z$173,'Ф4'!#REF!,1)),0,1)</formula>
    </cfRule>
  </conditionalFormatting>
  <conditionalFormatting sqref="Z219:Z220">
    <cfRule type="expression" priority="90" dxfId="0" stopIfTrue="1">
      <formula>IF(ISERROR(SEARCH(Z$173,'Ф4'!#REF!,1)),0,1)</formula>
    </cfRule>
  </conditionalFormatting>
  <conditionalFormatting sqref="Z221:Z225">
    <cfRule type="expression" priority="89" dxfId="0" stopIfTrue="1">
      <formula>IF(ISERROR(SEARCH(Z$173,'Ф4'!#REF!,1)),0,1)</formula>
    </cfRule>
  </conditionalFormatting>
  <conditionalFormatting sqref="Z227">
    <cfRule type="expression" priority="88" dxfId="0" stopIfTrue="1">
      <formula>IF(ISERROR(SEARCH(Z$173,'Ф4'!#REF!,1)),0,1)</formula>
    </cfRule>
  </conditionalFormatting>
  <conditionalFormatting sqref="M189:W189">
    <cfRule type="expression" priority="83" dxfId="0" stopIfTrue="1">
      <formula>IF(ISERROR(SEARCH(M$173,'Ф4'!#REF!,1)),0,1)</formula>
    </cfRule>
  </conditionalFormatting>
  <conditionalFormatting sqref="Y189:Z189">
    <cfRule type="expression" priority="82" dxfId="0" stopIfTrue="1">
      <formula>IF(ISERROR(SEARCH(Y$173,'Ф4'!#REF!,1)),0,1)</formula>
    </cfRule>
  </conditionalFormatting>
  <conditionalFormatting sqref="M213:W213">
    <cfRule type="expression" priority="81" dxfId="0" stopIfTrue="1">
      <formula>IF(ISERROR(SEARCH(M$173,'Ф4'!#REF!,1)),0,1)</formula>
    </cfRule>
  </conditionalFormatting>
  <conditionalFormatting sqref="Y213:Z213">
    <cfRule type="expression" priority="80" dxfId="0" stopIfTrue="1">
      <formula>IF(ISERROR(SEARCH(Y$173,'Ф4'!#REF!,1)),0,1)</formula>
    </cfRule>
  </conditionalFormatting>
  <conditionalFormatting sqref="Y175:Z175 M175:W175">
    <cfRule type="expression" priority="79" dxfId="0" stopIfTrue="1">
      <formula>IF(ISERROR(SEARCH(M$173,'Ф4'!#REF!,1)),0,1)</formula>
    </cfRule>
  </conditionalFormatting>
  <conditionalFormatting sqref="M230:W231">
    <cfRule type="expression" priority="78" dxfId="0" stopIfTrue="1">
      <formula>IF(ISERROR(SEARCH(M$173,'Ф4'!#REF!,1)),0,1)</formula>
    </cfRule>
  </conditionalFormatting>
  <conditionalFormatting sqref="M232:W234">
    <cfRule type="expression" priority="77" dxfId="0" stopIfTrue="1">
      <formula>IF(ISERROR(SEARCH(M$173,'Ф4'!#REF!,1)),0,1)</formula>
    </cfRule>
  </conditionalFormatting>
  <conditionalFormatting sqref="M236:W236">
    <cfRule type="expression" priority="76" dxfId="0" stopIfTrue="1">
      <formula>IF(ISERROR(SEARCH(M$173,'Ф4'!#REF!,1)),0,1)</formula>
    </cfRule>
  </conditionalFormatting>
  <conditionalFormatting sqref="M237:W238">
    <cfRule type="expression" priority="75" dxfId="0" stopIfTrue="1">
      <formula>IF(ISERROR(SEARCH(M$173,'Ф4'!#REF!,1)),0,1)</formula>
    </cfRule>
  </conditionalFormatting>
  <conditionalFormatting sqref="M239:W240">
    <cfRule type="expression" priority="74" dxfId="0" stopIfTrue="1">
      <formula>IF(ISERROR(SEARCH(M$173,'Ф4'!#REF!,1)),0,1)</formula>
    </cfRule>
  </conditionalFormatting>
  <conditionalFormatting sqref="M241:W242">
    <cfRule type="expression" priority="73" dxfId="0" stopIfTrue="1">
      <formula>IF(ISERROR(SEARCH(M$173,'Ф4'!#REF!,1)),0,1)</formula>
    </cfRule>
  </conditionalFormatting>
  <conditionalFormatting sqref="M243:W244">
    <cfRule type="expression" priority="72" dxfId="0" stopIfTrue="1">
      <formula>IF(ISERROR(SEARCH(M$173,'Ф4'!#REF!,1)),0,1)</formula>
    </cfRule>
  </conditionalFormatting>
  <conditionalFormatting sqref="M245:W246">
    <cfRule type="expression" priority="71" dxfId="0" stopIfTrue="1">
      <formula>IF(ISERROR(SEARCH(M$173,'Ф4'!#REF!,1)),0,1)</formula>
    </cfRule>
  </conditionalFormatting>
  <conditionalFormatting sqref="M247:W248">
    <cfRule type="expression" priority="70" dxfId="0" stopIfTrue="1">
      <formula>IF(ISERROR(SEARCH(M$173,'Ф4'!#REF!,1)),0,1)</formula>
    </cfRule>
  </conditionalFormatting>
  <conditionalFormatting sqref="M250:W250">
    <cfRule type="expression" priority="69" dxfId="0" stopIfTrue="1">
      <formula>IF(ISERROR(SEARCH(M$173,'Ф4'!#REF!,1)),0,1)</formula>
    </cfRule>
  </conditionalFormatting>
  <conditionalFormatting sqref="M251:W254">
    <cfRule type="expression" priority="68" dxfId="0" stopIfTrue="1">
      <formula>IF(ISERROR(SEARCH(M$173,'Ф4'!#REF!,1)),0,1)</formula>
    </cfRule>
  </conditionalFormatting>
  <conditionalFormatting sqref="M255:W256">
    <cfRule type="expression" priority="67" dxfId="0" stopIfTrue="1">
      <formula>IF(ISERROR(SEARCH(M$173,'Ф4'!#REF!,1)),0,1)</formula>
    </cfRule>
  </conditionalFormatting>
  <conditionalFormatting sqref="M257:W264">
    <cfRule type="expression" priority="66" dxfId="0" stopIfTrue="1">
      <formula>IF(ISERROR(SEARCH(M$173,'Ф4'!#REF!,1)),0,1)</formula>
    </cfRule>
  </conditionalFormatting>
  <conditionalFormatting sqref="M265:W266">
    <cfRule type="expression" priority="65" dxfId="0" stopIfTrue="1">
      <formula>IF(ISERROR(SEARCH(M$173,'Ф4'!#REF!,1)),0,1)</formula>
    </cfRule>
  </conditionalFormatting>
  <conditionalFormatting sqref="M267:W268">
    <cfRule type="expression" priority="64" dxfId="0" stopIfTrue="1">
      <formula>IF(ISERROR(SEARCH(M$173,'Ф4'!#REF!,1)),0,1)</formula>
    </cfRule>
  </conditionalFormatting>
  <conditionalFormatting sqref="M269:W270">
    <cfRule type="expression" priority="63" dxfId="0" stopIfTrue="1">
      <formula>IF(ISERROR(SEARCH(M$173,'Ф4'!#REF!,1)),0,1)</formula>
    </cfRule>
  </conditionalFormatting>
  <conditionalFormatting sqref="M271:W272">
    <cfRule type="expression" priority="62" dxfId="0" stopIfTrue="1">
      <formula>IF(ISERROR(SEARCH(M$173,'Ф4'!#REF!,1)),0,1)</formula>
    </cfRule>
  </conditionalFormatting>
  <conditionalFormatting sqref="M274:W274">
    <cfRule type="expression" priority="61" dxfId="0" stopIfTrue="1">
      <formula>IF(ISERROR(SEARCH(M$173,'Ф4'!#REF!,1)),0,1)</formula>
    </cfRule>
  </conditionalFormatting>
  <conditionalFormatting sqref="M275:W278">
    <cfRule type="expression" priority="60" dxfId="0" stopIfTrue="1">
      <formula>IF(ISERROR(SEARCH(M$173,'Ф4'!#REF!,1)),0,1)</formula>
    </cfRule>
  </conditionalFormatting>
  <conditionalFormatting sqref="M279:W280">
    <cfRule type="expression" priority="59" dxfId="0" stopIfTrue="1">
      <formula>IF(ISERROR(SEARCH(M$173,'Ф4'!#REF!,1)),0,1)</formula>
    </cfRule>
  </conditionalFormatting>
  <conditionalFormatting sqref="M281:W285">
    <cfRule type="expression" priority="58" dxfId="0" stopIfTrue="1">
      <formula>IF(ISERROR(SEARCH(M$173,'Ф4'!#REF!,1)),0,1)</formula>
    </cfRule>
  </conditionalFormatting>
  <conditionalFormatting sqref="M287:W287 M286:Z286">
    <cfRule type="expression" priority="57" dxfId="0" stopIfTrue="1">
      <formula>IF(ISERROR(SEARCH(M$173,'Ф4'!#REF!,1)),0,1)</formula>
    </cfRule>
  </conditionalFormatting>
  <conditionalFormatting sqref="Y230:Y231">
    <cfRule type="expression" priority="56" dxfId="0" stopIfTrue="1">
      <formula>IF(ISERROR(SEARCH(Y$173,'Ф4'!#REF!,1)),0,1)</formula>
    </cfRule>
  </conditionalFormatting>
  <conditionalFormatting sqref="Y232:Y234">
    <cfRule type="expression" priority="55" dxfId="0" stopIfTrue="1">
      <formula>IF(ISERROR(SEARCH(Y$173,'Ф4'!#REF!,1)),0,1)</formula>
    </cfRule>
  </conditionalFormatting>
  <conditionalFormatting sqref="Y236">
    <cfRule type="expression" priority="54" dxfId="0" stopIfTrue="1">
      <formula>IF(ISERROR(SEARCH(Y$173,'Ф4'!#REF!,1)),0,1)</formula>
    </cfRule>
  </conditionalFormatting>
  <conditionalFormatting sqref="Y237:Y238">
    <cfRule type="expression" priority="53" dxfId="0" stopIfTrue="1">
      <formula>IF(ISERROR(SEARCH(Y$173,'Ф4'!#REF!,1)),0,1)</formula>
    </cfRule>
  </conditionalFormatting>
  <conditionalFormatting sqref="Y239:Y240">
    <cfRule type="expression" priority="52" dxfId="0" stopIfTrue="1">
      <formula>IF(ISERROR(SEARCH(Y$173,'Ф4'!#REF!,1)),0,1)</formula>
    </cfRule>
  </conditionalFormatting>
  <conditionalFormatting sqref="Y241:Y242">
    <cfRule type="expression" priority="51" dxfId="0" stopIfTrue="1">
      <formula>IF(ISERROR(SEARCH(Y$173,'Ф4'!#REF!,1)),0,1)</formula>
    </cfRule>
  </conditionalFormatting>
  <conditionalFormatting sqref="Y243:Y244">
    <cfRule type="expression" priority="50" dxfId="0" stopIfTrue="1">
      <formula>IF(ISERROR(SEARCH(Y$173,'Ф4'!#REF!,1)),0,1)</formula>
    </cfRule>
  </conditionalFormatting>
  <conditionalFormatting sqref="Y245:Y246">
    <cfRule type="expression" priority="49" dxfId="0" stopIfTrue="1">
      <formula>IF(ISERROR(SEARCH(Y$173,'Ф4'!#REF!,1)),0,1)</formula>
    </cfRule>
  </conditionalFormatting>
  <conditionalFormatting sqref="Y197:Y204">
    <cfRule type="expression" priority="117" dxfId="0" stopIfTrue="1">
      <formula>IF(ISERROR(SEARCH(Y$173,'Ф4'!#REF!,1)),0,1)</formula>
    </cfRule>
  </conditionalFormatting>
  <conditionalFormatting sqref="Y205:Y206">
    <cfRule type="expression" priority="116" dxfId="0" stopIfTrue="1">
      <formula>IF(ISERROR(SEARCH(Y$173,'Ф4'!#REF!,1)),0,1)</formula>
    </cfRule>
  </conditionalFormatting>
  <conditionalFormatting sqref="Y207:Y208">
    <cfRule type="expression" priority="115" dxfId="0" stopIfTrue="1">
      <formula>IF(ISERROR(SEARCH(Y$173,'Ф4'!#REF!,1)),0,1)</formula>
    </cfRule>
  </conditionalFormatting>
  <conditionalFormatting sqref="Y209:Y210">
    <cfRule type="expression" priority="114" dxfId="0" stopIfTrue="1">
      <formula>IF(ISERROR(SEARCH(Y$173,'Ф4'!#REF!,1)),0,1)</formula>
    </cfRule>
  </conditionalFormatting>
  <conditionalFormatting sqref="Y211:Y212">
    <cfRule type="expression" priority="113" dxfId="0" stopIfTrue="1">
      <formula>IF(ISERROR(SEARCH(Y$173,'Ф4'!#REF!,1)),0,1)</formula>
    </cfRule>
  </conditionalFormatting>
  <conditionalFormatting sqref="X236">
    <cfRule type="expression" priority="187" dxfId="0" stopIfTrue="1">
      <formula>IF(ISERROR(SEARCH(X$173,'Ф4'!#REF!,1)),0,1)</formula>
    </cfRule>
  </conditionalFormatting>
  <conditionalFormatting sqref="Y215:Y218">
    <cfRule type="expression" priority="111" dxfId="0" stopIfTrue="1">
      <formula>IF(ISERROR(SEARCH(Y$173,'Ф4'!#REF!,1)),0,1)</formula>
    </cfRule>
  </conditionalFormatting>
  <conditionalFormatting sqref="Y227">
    <cfRule type="expression" priority="108" dxfId="0" stopIfTrue="1">
      <formula>IF(ISERROR(SEARCH(Y$173,'Ф4'!#REF!,1)),0,1)</formula>
    </cfRule>
  </conditionalFormatting>
  <conditionalFormatting sqref="M176:W176">
    <cfRule type="expression" priority="147" dxfId="0" stopIfTrue="1">
      <formula>IF(ISERROR(SEARCH(M$173,'Ф4'!#REF!,1)),0,1)</formula>
    </cfRule>
  </conditionalFormatting>
  <conditionalFormatting sqref="M177:W178">
    <cfRule type="expression" priority="146" dxfId="0" stopIfTrue="1">
      <formula>IF(ISERROR(SEARCH(M$173,'Ф4'!#REF!,1)),0,1)</formula>
    </cfRule>
  </conditionalFormatting>
  <conditionalFormatting sqref="M179:W180">
    <cfRule type="expression" priority="145" dxfId="0" stopIfTrue="1">
      <formula>IF(ISERROR(SEARCH(M$173,'Ф4'!#REF!,1)),0,1)</formula>
    </cfRule>
  </conditionalFormatting>
  <conditionalFormatting sqref="M181:W182">
    <cfRule type="expression" priority="144" dxfId="0" stopIfTrue="1">
      <formula>IF(ISERROR(SEARCH(M$173,'Ф4'!#REF!,1)),0,1)</formula>
    </cfRule>
  </conditionalFormatting>
  <conditionalFormatting sqref="M183:W184">
    <cfRule type="expression" priority="143" dxfId="0" stopIfTrue="1">
      <formula>IF(ISERROR(SEARCH(M$173,'Ф4'!#REF!,1)),0,1)</formula>
    </cfRule>
  </conditionalFormatting>
  <conditionalFormatting sqref="M185:W186">
    <cfRule type="expression" priority="142" dxfId="0" stopIfTrue="1">
      <formula>IF(ISERROR(SEARCH(M$173,'Ф4'!#REF!,1)),0,1)</formula>
    </cfRule>
  </conditionalFormatting>
  <conditionalFormatting sqref="M187:W188">
    <cfRule type="expression" priority="141" dxfId="0" stopIfTrue="1">
      <formula>IF(ISERROR(SEARCH(M$173,'Ф4'!#REF!,1)),0,1)</formula>
    </cfRule>
  </conditionalFormatting>
  <conditionalFormatting sqref="M190:W190">
    <cfRule type="expression" priority="140" dxfId="0" stopIfTrue="1">
      <formula>IF(ISERROR(SEARCH(M$173,'Ф4'!#REF!,1)),0,1)</formula>
    </cfRule>
  </conditionalFormatting>
  <conditionalFormatting sqref="M191:W194">
    <cfRule type="expression" priority="139" dxfId="0" stopIfTrue="1">
      <formula>IF(ISERROR(SEARCH(M$173,'Ф4'!#REF!,1)),0,1)</formula>
    </cfRule>
  </conditionalFormatting>
  <conditionalFormatting sqref="M195:W196">
    <cfRule type="expression" priority="138" dxfId="0" stopIfTrue="1">
      <formula>IF(ISERROR(SEARCH(M$173,'Ф4'!#REF!,1)),0,1)</formula>
    </cfRule>
  </conditionalFormatting>
  <conditionalFormatting sqref="M197:W204">
    <cfRule type="expression" priority="137" dxfId="0" stopIfTrue="1">
      <formula>IF(ISERROR(SEARCH(M$173,'Ф4'!#REF!,1)),0,1)</formula>
    </cfRule>
  </conditionalFormatting>
  <conditionalFormatting sqref="M205:W206">
    <cfRule type="expression" priority="136" dxfId="0" stopIfTrue="1">
      <formula>IF(ISERROR(SEARCH(M$173,'Ф4'!#REF!,1)),0,1)</formula>
    </cfRule>
  </conditionalFormatting>
  <conditionalFormatting sqref="M207:W208">
    <cfRule type="expression" priority="135" dxfId="0" stopIfTrue="1">
      <formula>IF(ISERROR(SEARCH(M$173,'Ф4'!#REF!,1)),0,1)</formula>
    </cfRule>
  </conditionalFormatting>
  <conditionalFormatting sqref="M209:W210">
    <cfRule type="expression" priority="134" dxfId="0" stopIfTrue="1">
      <formula>IF(ISERROR(SEARCH(M$173,'Ф4'!#REF!,1)),0,1)</formula>
    </cfRule>
  </conditionalFormatting>
  <conditionalFormatting sqref="M211:W212">
    <cfRule type="expression" priority="133" dxfId="0" stopIfTrue="1">
      <formula>IF(ISERROR(SEARCH(M$173,'Ф4'!#REF!,1)),0,1)</formula>
    </cfRule>
  </conditionalFormatting>
  <conditionalFormatting sqref="M214:W214">
    <cfRule type="expression" priority="132" dxfId="0" stopIfTrue="1">
      <formula>IF(ISERROR(SEARCH(M$173,'Ф4'!#REF!,1)),0,1)</formula>
    </cfRule>
  </conditionalFormatting>
  <conditionalFormatting sqref="M215:W218">
    <cfRule type="expression" priority="131" dxfId="0" stopIfTrue="1">
      <formula>IF(ISERROR(SEARCH(M$173,'Ф4'!#REF!,1)),0,1)</formula>
    </cfRule>
  </conditionalFormatting>
  <conditionalFormatting sqref="M219:W220">
    <cfRule type="expression" priority="130" dxfId="0" stopIfTrue="1">
      <formula>IF(ISERROR(SEARCH(M$173,'Ф4'!#REF!,1)),0,1)</formula>
    </cfRule>
  </conditionalFormatting>
  <conditionalFormatting sqref="M221:W225">
    <cfRule type="expression" priority="129" dxfId="0" stopIfTrue="1">
      <formula>IF(ISERROR(SEARCH(M$173,'Ф4'!#REF!,1)),0,1)</formula>
    </cfRule>
  </conditionalFormatting>
  <conditionalFormatting sqref="M227:W227">
    <cfRule type="expression" priority="128" dxfId="0" stopIfTrue="1">
      <formula>IF(ISERROR(SEARCH(M$173,'Ф4'!#REF!,1)),0,1)</formula>
    </cfRule>
  </conditionalFormatting>
  <conditionalFormatting sqref="Y176">
    <cfRule type="expression" priority="127" dxfId="0" stopIfTrue="1">
      <formula>IF(ISERROR(SEARCH(Y$173,'Ф4'!#REF!,1)),0,1)</formula>
    </cfRule>
  </conditionalFormatting>
  <conditionalFormatting sqref="Y177:Y178">
    <cfRule type="expression" priority="126" dxfId="0" stopIfTrue="1">
      <formula>IF(ISERROR(SEARCH(Y$173,'Ф4'!#REF!,1)),0,1)</formula>
    </cfRule>
  </conditionalFormatting>
  <conditionalFormatting sqref="Y179:Y180">
    <cfRule type="expression" priority="125" dxfId="0" stopIfTrue="1">
      <formula>IF(ISERROR(SEARCH(Y$173,'Ф4'!#REF!,1)),0,1)</formula>
    </cfRule>
  </conditionalFormatting>
  <conditionalFormatting sqref="Y181:Y182">
    <cfRule type="expression" priority="124" dxfId="0" stopIfTrue="1">
      <formula>IF(ISERROR(SEARCH(Y$173,'Ф4'!#REF!,1)),0,1)</formula>
    </cfRule>
  </conditionalFormatting>
  <conditionalFormatting sqref="Y183:Y184">
    <cfRule type="expression" priority="123" dxfId="0" stopIfTrue="1">
      <formula>IF(ISERROR(SEARCH(Y$173,'Ф4'!#REF!,1)),0,1)</formula>
    </cfRule>
  </conditionalFormatting>
  <conditionalFormatting sqref="Y185:Y186">
    <cfRule type="expression" priority="122" dxfId="0" stopIfTrue="1">
      <formula>IF(ISERROR(SEARCH(Y$173,'Ф4'!#REF!,1)),0,1)</formula>
    </cfRule>
  </conditionalFormatting>
  <conditionalFormatting sqref="Y187:Y188">
    <cfRule type="expression" priority="121" dxfId="0" stopIfTrue="1">
      <formula>IF(ISERROR(SEARCH(Y$173,'Ф4'!#REF!,1)),0,1)</formula>
    </cfRule>
  </conditionalFormatting>
  <conditionalFormatting sqref="Y190">
    <cfRule type="expression" priority="120" dxfId="0" stopIfTrue="1">
      <formula>IF(ISERROR(SEARCH(Y$173,'Ф4'!#REF!,1)),0,1)</formula>
    </cfRule>
  </conditionalFormatting>
  <conditionalFormatting sqref="Y191:Y194">
    <cfRule type="expression" priority="119" dxfId="0" stopIfTrue="1">
      <formula>IF(ISERROR(SEARCH(Y$173,'Ф4'!#REF!,1)),0,1)</formula>
    </cfRule>
  </conditionalFormatting>
  <conditionalFormatting sqref="Y195:Y196">
    <cfRule type="expression" priority="118" dxfId="0" stopIfTrue="1">
      <formula>IF(ISERROR(SEARCH(Y$173,'Ф4'!#REF!,1)),0,1)</formula>
    </cfRule>
  </conditionalFormatting>
  <conditionalFormatting sqref="Y214">
    <cfRule type="expression" priority="112" dxfId="0" stopIfTrue="1">
      <formula>IF(ISERROR(SEARCH(Y$173,'Ф4'!#REF!,1)),0,1)</formula>
    </cfRule>
  </conditionalFormatting>
  <conditionalFormatting sqref="Y249:Z249">
    <cfRule type="expression" priority="7" dxfId="0" stopIfTrue="1">
      <formula>IF(ISERROR(SEARCH(Y$173,'Ф4'!#REF!,1)),0,1)</formula>
    </cfRule>
  </conditionalFormatting>
  <conditionalFormatting sqref="M273:W273">
    <cfRule type="expression" priority="6" dxfId="0" stopIfTrue="1">
      <formula>IF(ISERROR(SEARCH(M$173,'Ф4'!#REF!,1)),0,1)</formula>
    </cfRule>
  </conditionalFormatting>
  <conditionalFormatting sqref="Y273:Z273">
    <cfRule type="expression" priority="5" dxfId="0" stopIfTrue="1">
      <formula>IF(ISERROR(SEARCH(Y$173,'Ф4'!#REF!,1)),0,1)</formula>
    </cfRule>
  </conditionalFormatting>
  <conditionalFormatting sqref="Y235:Z235 M235:W235">
    <cfRule type="expression" priority="4" dxfId="0" stopIfTrue="1">
      <formula>IF(ISERROR(SEARCH(M$173,'Ф4'!#REF!,1)),0,1)</formula>
    </cfRule>
  </conditionalFormatting>
  <conditionalFormatting sqref="Y247:Y248">
    <cfRule type="expression" priority="48" dxfId="0" stopIfTrue="1">
      <formula>IF(ISERROR(SEARCH(Y$173,'Ф4'!#REF!,1)),0,1)</formula>
    </cfRule>
  </conditionalFormatting>
  <conditionalFormatting sqref="Y250">
    <cfRule type="expression" priority="47" dxfId="0" stopIfTrue="1">
      <formula>IF(ISERROR(SEARCH(Y$173,'Ф4'!#REF!,1)),0,1)</formula>
    </cfRule>
  </conditionalFormatting>
  <conditionalFormatting sqref="Y251:Y254">
    <cfRule type="expression" priority="46" dxfId="0" stopIfTrue="1">
      <formula>IF(ISERROR(SEARCH(Y$173,'Ф4'!#REF!,1)),0,1)</formula>
    </cfRule>
  </conditionalFormatting>
  <conditionalFormatting sqref="Y255:Y256">
    <cfRule type="expression" priority="45" dxfId="0" stopIfTrue="1">
      <formula>IF(ISERROR(SEARCH(Y$173,'Ф4'!#REF!,1)),0,1)</formula>
    </cfRule>
  </conditionalFormatting>
  <conditionalFormatting sqref="Y257:Y264">
    <cfRule type="expression" priority="44" dxfId="0" stopIfTrue="1">
      <formula>IF(ISERROR(SEARCH(Y$173,'Ф4'!#REF!,1)),0,1)</formula>
    </cfRule>
  </conditionalFormatting>
  <conditionalFormatting sqref="Y265:Y266">
    <cfRule type="expression" priority="43" dxfId="0" stopIfTrue="1">
      <formula>IF(ISERROR(SEARCH(Y$173,'Ф4'!#REF!,1)),0,1)</formula>
    </cfRule>
  </conditionalFormatting>
  <conditionalFormatting sqref="Y267:Y268">
    <cfRule type="expression" priority="42" dxfId="0" stopIfTrue="1">
      <formula>IF(ISERROR(SEARCH(Y$173,'Ф4'!#REF!,1)),0,1)</formula>
    </cfRule>
  </conditionalFormatting>
  <conditionalFormatting sqref="Y269:Y270">
    <cfRule type="expression" priority="41" dxfId="0" stopIfTrue="1">
      <formula>IF(ISERROR(SEARCH(Y$173,'Ф4'!#REF!,1)),0,1)</formula>
    </cfRule>
  </conditionalFormatting>
  <conditionalFormatting sqref="Y271:Y272">
    <cfRule type="expression" priority="40" dxfId="0" stopIfTrue="1">
      <formula>IF(ISERROR(SEARCH(Y$173,'Ф4'!#REF!,1)),0,1)</formula>
    </cfRule>
  </conditionalFormatting>
  <conditionalFormatting sqref="Y274">
    <cfRule type="expression" priority="39" dxfId="0" stopIfTrue="1">
      <formula>IF(ISERROR(SEARCH(Y$173,'Ф4'!#REF!,1)),0,1)</formula>
    </cfRule>
  </conditionalFormatting>
  <conditionalFormatting sqref="Y275:Y278">
    <cfRule type="expression" priority="38" dxfId="0" stopIfTrue="1">
      <formula>IF(ISERROR(SEARCH(Y$173,'Ф4'!#REF!,1)),0,1)</formula>
    </cfRule>
  </conditionalFormatting>
  <conditionalFormatting sqref="Y279:Y280">
    <cfRule type="expression" priority="37" dxfId="0" stopIfTrue="1">
      <formula>IF(ISERROR(SEARCH(Y$173,'Ф4'!#REF!,1)),0,1)</formula>
    </cfRule>
  </conditionalFormatting>
  <conditionalFormatting sqref="Y281:Y285">
    <cfRule type="expression" priority="36" dxfId="0" stopIfTrue="1">
      <formula>IF(ISERROR(SEARCH(Y$173,'Ф4'!#REF!,1)),0,1)</formula>
    </cfRule>
  </conditionalFormatting>
  <conditionalFormatting sqref="Y287">
    <cfRule type="expression" priority="35" dxfId="0" stopIfTrue="1">
      <formula>IF(ISERROR(SEARCH(Y$173,'Ф4'!#REF!,1)),0,1)</formula>
    </cfRule>
  </conditionalFormatting>
  <conditionalFormatting sqref="Z230:Z231">
    <cfRule type="expression" priority="34" dxfId="0" stopIfTrue="1">
      <formula>IF(ISERROR(SEARCH(Z$173,'Ф4'!#REF!,1)),0,1)</formula>
    </cfRule>
  </conditionalFormatting>
  <conditionalFormatting sqref="Z232:Z234">
    <cfRule type="expression" priority="33" dxfId="0" stopIfTrue="1">
      <formula>IF(ISERROR(SEARCH(Z$173,'Ф4'!#REF!,1)),0,1)</formula>
    </cfRule>
  </conditionalFormatting>
  <conditionalFormatting sqref="Z236">
    <cfRule type="expression" priority="32" dxfId="0" stopIfTrue="1">
      <formula>IF(ISERROR(SEARCH(Z$173,'Ф4'!#REF!,1)),0,1)</formula>
    </cfRule>
  </conditionalFormatting>
  <conditionalFormatting sqref="Z237:Z238">
    <cfRule type="expression" priority="31" dxfId="0" stopIfTrue="1">
      <formula>IF(ISERROR(SEARCH(Z$173,'Ф4'!#REF!,1)),0,1)</formula>
    </cfRule>
  </conditionalFormatting>
  <conditionalFormatting sqref="Z239:Z240">
    <cfRule type="expression" priority="30" dxfId="0" stopIfTrue="1">
      <formula>IF(ISERROR(SEARCH(Z$173,'Ф4'!#REF!,1)),0,1)</formula>
    </cfRule>
  </conditionalFormatting>
  <conditionalFormatting sqref="Z241:Z242">
    <cfRule type="expression" priority="29" dxfId="0" stopIfTrue="1">
      <formula>IF(ISERROR(SEARCH(Z$173,'Ф4'!#REF!,1)),0,1)</formula>
    </cfRule>
  </conditionalFormatting>
  <conditionalFormatting sqref="Z243:Z244">
    <cfRule type="expression" priority="28" dxfId="0" stopIfTrue="1">
      <formula>IF(ISERROR(SEARCH(Z$173,'Ф4'!#REF!,1)),0,1)</formula>
    </cfRule>
  </conditionalFormatting>
  <conditionalFormatting sqref="Z245:Z246">
    <cfRule type="expression" priority="27" dxfId="0" stopIfTrue="1">
      <formula>IF(ISERROR(SEARCH(Z$173,'Ф4'!#REF!,1)),0,1)</formula>
    </cfRule>
  </conditionalFormatting>
  <conditionalFormatting sqref="Z247:Z248">
    <cfRule type="expression" priority="26" dxfId="0" stopIfTrue="1">
      <formula>IF(ISERROR(SEARCH(Z$173,'Ф4'!#REF!,1)),0,1)</formula>
    </cfRule>
  </conditionalFormatting>
  <conditionalFormatting sqref="Z250">
    <cfRule type="expression" priority="25" dxfId="0" stopIfTrue="1">
      <formula>IF(ISERROR(SEARCH(Z$173,'Ф4'!#REF!,1)),0,1)</formula>
    </cfRule>
  </conditionalFormatting>
  <conditionalFormatting sqref="Z251:Z254">
    <cfRule type="expression" priority="24" dxfId="0" stopIfTrue="1">
      <formula>IF(ISERROR(SEARCH(Z$173,'Ф4'!#REF!,1)),0,1)</formula>
    </cfRule>
  </conditionalFormatting>
  <conditionalFormatting sqref="Z255:Z256">
    <cfRule type="expression" priority="23" dxfId="0" stopIfTrue="1">
      <formula>IF(ISERROR(SEARCH(Z$173,'Ф4'!#REF!,1)),0,1)</formula>
    </cfRule>
  </conditionalFormatting>
  <conditionalFormatting sqref="Z257:Z264">
    <cfRule type="expression" priority="22" dxfId="0" stopIfTrue="1">
      <formula>IF(ISERROR(SEARCH(Z$173,'Ф4'!#REF!,1)),0,1)</formula>
    </cfRule>
  </conditionalFormatting>
  <conditionalFormatting sqref="Z265:Z266">
    <cfRule type="expression" priority="21" dxfId="0" stopIfTrue="1">
      <formula>IF(ISERROR(SEARCH(Z$173,'Ф4'!#REF!,1)),0,1)</formula>
    </cfRule>
  </conditionalFormatting>
  <conditionalFormatting sqref="Z268">
    <cfRule type="expression" priority="20" dxfId="0" stopIfTrue="1">
      <formula>IF(ISERROR(SEARCH(Z$173,'Ф4'!#REF!,1)),0,1)</formula>
    </cfRule>
  </conditionalFormatting>
  <conditionalFormatting sqref="Z269:Z270">
    <cfRule type="expression" priority="19" dxfId="0" stopIfTrue="1">
      <formula>IF(ISERROR(SEARCH(Z$173,'Ф4'!#REF!,1)),0,1)</formula>
    </cfRule>
  </conditionalFormatting>
  <conditionalFormatting sqref="Z271:Z272">
    <cfRule type="expression" priority="18" dxfId="0" stopIfTrue="1">
      <formula>IF(ISERROR(SEARCH(Z$173,'Ф4'!#REF!,1)),0,1)</formula>
    </cfRule>
  </conditionalFormatting>
  <conditionalFormatting sqref="Z274">
    <cfRule type="expression" priority="17" dxfId="0" stopIfTrue="1">
      <formula>IF(ISERROR(SEARCH(Z$173,'Ф4'!#REF!,1)),0,1)</formula>
    </cfRule>
  </conditionalFormatting>
  <conditionalFormatting sqref="Z275:Z278">
    <cfRule type="expression" priority="16" dxfId="0" stopIfTrue="1">
      <formula>IF(ISERROR(SEARCH(Z$173,'Ф4'!#REF!,1)),0,1)</formula>
    </cfRule>
  </conditionalFormatting>
  <conditionalFormatting sqref="Z279:Z280">
    <cfRule type="expression" priority="15" dxfId="0" stopIfTrue="1">
      <formula>IF(ISERROR(SEARCH(Z$173,'Ф4'!#REF!,1)),0,1)</formula>
    </cfRule>
  </conditionalFormatting>
  <conditionalFormatting sqref="Z281:Z285">
    <cfRule type="expression" priority="14" dxfId="0" stopIfTrue="1">
      <formula>IF(ISERROR(SEARCH(Z$173,'Ф4'!#REF!,1)),0,1)</formula>
    </cfRule>
  </conditionalFormatting>
  <conditionalFormatting sqref="Z287">
    <cfRule type="expression" priority="13" dxfId="0" stopIfTrue="1">
      <formula>IF(ISERROR(SEARCH(Z$173,'Ф4'!#REF!,1)),0,1)</formula>
    </cfRule>
  </conditionalFormatting>
  <conditionalFormatting sqref="M249:W249">
    <cfRule type="expression" priority="8" dxfId="0" stopIfTrue="1">
      <formula>IF(ISERROR(SEARCH(M$173,'Ф4'!#REF!,1)),0,1)</formula>
    </cfRule>
  </conditionalFormatting>
  <conditionalFormatting sqref="M226:Z226">
    <cfRule type="expression" priority="2" dxfId="0" stopIfTrue="1">
      <formula>IF(ISERROR(SEARCH(M$173,'Ф4'!#REF!,1)),0,1)</formula>
    </cfRule>
  </conditionalFormatting>
  <conditionalFormatting sqref="Z267">
    <cfRule type="expression" priority="1" dxfId="0" stopIfTrue="1">
      <formula>IF(ISERROR(SEARCH(Z$173,'Ф4'!#REF!,1)),0,1)</formula>
    </cfRule>
  </conditionalFormatting>
  <dataValidations count="2">
    <dataValidation type="list" allowBlank="1" sqref="B17:E17 B109:E109">
      <formula1>"SELF,ALL,BAS,DEP,BASMEMBERS,MEMBERS,NOEXPAND,,"</formula1>
    </dataValidation>
    <dataValidation type="list" allowBlank="1" sqref="B108:E108 B16:E16">
      <formula1>"C_ACCT,C_CATEGORY,C_DATATS,C_ENTITY,C_M003,C_M004,C_M005,FLOW,GROUPS,INTCO,RPTCURRENCY,TIME,MEASURES"</formula1>
    </dataValidation>
  </dataValidations>
  <printOptions/>
  <pageMargins left="0.4330708661417323" right="0.15748031496062992" top="0.5118110236220472" bottom="0.35433070866141736" header="0.31496062992125984" footer="0.15748031496062992"/>
  <pageSetup fitToHeight="2" fitToWidth="1" horizontalDpi="1200" verticalDpi="1200" orientation="landscape" paperSize="9" scale="44" r:id="rId3"/>
  <rowBreaks count="2" manualBreakCount="2">
    <brk id="212" max="25" man="1"/>
    <brk id="24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Bakhtiyar Bazarbekov</dc:creator>
  <cp:keywords/>
  <dc:description/>
  <cp:lastModifiedBy>Alma Kuletova</cp:lastModifiedBy>
  <cp:lastPrinted>2016-08-15T09:32:35Z</cp:lastPrinted>
  <dcterms:created xsi:type="dcterms:W3CDTF">2011-06-13T19:19:45Z</dcterms:created>
  <dcterms:modified xsi:type="dcterms:W3CDTF">2016-08-15T09:33:33Z</dcterms:modified>
  <cp:category/>
  <cp:version/>
  <cp:contentType/>
  <cp:contentStatus/>
</cp:coreProperties>
</file>