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9675" windowHeight="9285" activeTab="3"/>
  </bookViews>
  <sheets>
    <sheet name="Ф1" sheetId="1" r:id="rId1"/>
    <sheet name="Ф2 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<sst xmlns="http://schemas.openxmlformats.org/spreadsheetml/2006/main" count="195" uniqueCount="135">
  <si>
    <t>(тыс.тенге)</t>
  </si>
  <si>
    <t>Примечания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</si>
  <si>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</si>
  <si>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</si>
  <si>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</si>
  <si>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</si>
  <si>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</si>
  <si>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</si>
  <si>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</si>
  <si>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</si>
  <si>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</si>
  <si>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</si>
  <si>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</si>
  <si>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</si>
  <si>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</si>
  <si>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</si>
  <si>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</si>
  <si>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</si>
  <si>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</si>
  <si>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</si>
  <si>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</si>
  <si>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</si>
  <si>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</si>
  <si>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</si>
  <si>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</si>
  <si>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</si>
  <si>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</si>
  <si>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</si>
  <si>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</si>
  <si>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</si>
  <si>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</si>
  <si>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(фамилия, имя, отчество)</t>
  </si>
  <si>
    <t>Главный бухгалтер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</si>
  <si>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</si>
  <si>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</si>
  <si>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</si>
  <si>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</si>
  <si>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</si>
  <si>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</si>
  <si>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</si>
  <si>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</si>
  <si>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</si>
  <si>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</si>
  <si>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</si>
  <si>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</si>
  <si>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</si>
  <si>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</si>
  <si>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</si>
  <si>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</si>
  <si>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</si>
  <si>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</si>
  <si>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</si>
  <si>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</si>
  <si>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</si>
  <si>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</si>
  <si>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</si>
  <si>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</si>
  <si>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</si>
  <si>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</si>
  <si>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</si>
  <si>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</si>
  <si>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</si>
  <si>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</si>
  <si>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Расходы по формированию резервов (провизий) по предоставленным займам</t>
  </si>
  <si>
    <t>Вклады в уставный капитал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</si>
  <si>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</si>
  <si>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</si>
  <si>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</si>
  <si>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</si>
  <si>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</si>
  <si>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</si>
  <si>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</si>
  <si>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</si>
  <si>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</si>
  <si>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</si>
  <si>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</si>
  <si>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</si>
  <si>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</si>
  <si>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</si>
  <si>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</si>
  <si>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</si>
  <si>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</si>
  <si>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</si>
  <si>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</si>
  <si>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</si>
  <si>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</si>
  <si>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</si>
  <si>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</si>
  <si>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</si>
  <si>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</si>
  <si>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</si>
  <si>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</si>
  <si>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</si>
  <si>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</si>
  <si>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</si>
  <si>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</si>
  <si>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</si>
  <si>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2022 года</t>
  </si>
  <si>
    <t>Выданные микрокредиты</t>
  </si>
  <si>
    <t>Краткосрочные финансовые обязательства</t>
  </si>
  <si>
    <t>Отложенное налоговое обязательство</t>
  </si>
  <si>
    <t>Обязательства по аренде</t>
  </si>
  <si>
    <t>Процентные доходы</t>
  </si>
  <si>
    <t>Процентные расходы</t>
  </si>
  <si>
    <t>Операционые расходы</t>
  </si>
  <si>
    <t>Прочие финансовые доходы/расходы</t>
  </si>
  <si>
    <t>Прочие расходы</t>
  </si>
  <si>
    <t>…..../ 51</t>
  </si>
  <si>
    <t>…..../74</t>
  </si>
  <si>
    <t>74+72</t>
  </si>
  <si>
    <t>53,54, 81</t>
  </si>
  <si>
    <t>2023 года</t>
  </si>
  <si>
    <t>Каганбаева Б.А.</t>
  </si>
  <si>
    <t>2022 год</t>
  </si>
  <si>
    <t>30 июня</t>
  </si>
  <si>
    <t xml:space="preserve"> закончившихся 30 июня</t>
  </si>
  <si>
    <t xml:space="preserve">2023 год </t>
  </si>
  <si>
    <t>На 30 июня 2022 года ( неаудировано)</t>
  </si>
  <si>
    <t>На 30 июня 2023 года (неаудировано)</t>
  </si>
  <si>
    <t>за 6 месяцев,</t>
  </si>
  <si>
    <t>за 6 месяцев, закончившихся 30 июня 2023 года</t>
  </si>
  <si>
    <t>На 31 декабря 2022 года (аудировано)</t>
  </si>
  <si>
    <t>На 31 декабря 2021 год (аудировано)</t>
  </si>
  <si>
    <t>Денежные средства на началопериода</t>
  </si>
  <si>
    <t>Денежные средства на конец периода</t>
  </si>
  <si>
    <t>за 6 месяцев, закончившихся</t>
  </si>
  <si>
    <t>Пазылова Г.О.</t>
  </si>
  <si>
    <t>Дата утверждения ФО к выпуску 15 июля  2023г.</t>
  </si>
  <si>
    <t>Промежуточный сокращенный отчет о финансовом положении</t>
  </si>
  <si>
    <t>Промежуточный сокращенный отчет о совокупном доходе</t>
  </si>
  <si>
    <t>по состоянию на 30 июня 2023 года</t>
  </si>
  <si>
    <t>Дата утверждения ФО к выпуску 15 июля 2023г.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</si>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</sst>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_-* #,##0.0\ _₸_-;\-* #,##0.0\ _₸_-;_-* &quot;-&quot;??\ _₸_-;_-@_-"/>
    <numFmt numFmtId="177" formatCode="_-* #,##0\ _₸_-;\-* #,##0\ _₸_-;_-* &quot;-&quot;??\ _₸_-;_-@_-"/>
    <numFmt numFmtId="178" formatCode="#,##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,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5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177" fontId="51" fillId="0" borderId="0" xfId="59" applyNumberFormat="1" applyFont="1" applyAlignment="1">
      <alignment horizontal="right" vertical="center"/>
    </xf>
    <xf numFmtId="177" fontId="53" fillId="0" borderId="0" xfId="59" applyNumberFormat="1" applyFont="1" applyAlignment="1">
      <alignment horizontal="right" vertical="center"/>
    </xf>
    <xf numFmtId="177" fontId="60" fillId="0" borderId="0" xfId="59" applyNumberFormat="1" applyFont="1" applyAlignment="1">
      <alignment horizontal="right" vertical="center"/>
    </xf>
    <xf numFmtId="177" fontId="0" fillId="0" borderId="0" xfId="0" applyNumberFormat="1" applyAlignment="1">
      <alignment/>
    </xf>
    <xf numFmtId="178" fontId="52" fillId="0" borderId="0" xfId="59" applyNumberFormat="1" applyFont="1" applyAlignment="1">
      <alignment horizontal="center" vertical="center" wrapText="1"/>
    </xf>
    <xf numFmtId="178" fontId="52" fillId="0" borderId="0" xfId="59" applyNumberFormat="1" applyFont="1" applyAlignment="1">
      <alignment horizontal="right" vertical="center" wrapText="1"/>
    </xf>
    <xf numFmtId="178" fontId="53" fillId="0" borderId="0" xfId="59" applyNumberFormat="1" applyFont="1" applyAlignment="1">
      <alignment horizontal="center" vertical="center" wrapText="1"/>
    </xf>
    <xf numFmtId="178" fontId="53" fillId="0" borderId="0" xfId="59" applyNumberFormat="1" applyFont="1" applyAlignment="1">
      <alignment horizontal="right" vertical="center" wrapText="1"/>
    </xf>
    <xf numFmtId="178" fontId="52" fillId="0" borderId="0" xfId="59" applyNumberFormat="1" applyFont="1" applyAlignment="1">
      <alignment vertical="center" wrapText="1"/>
    </xf>
    <xf numFmtId="178" fontId="0" fillId="0" borderId="0" xfId="59" applyNumberFormat="1" applyFont="1" applyAlignment="1">
      <alignment/>
    </xf>
    <xf numFmtId="178" fontId="0" fillId="0" borderId="0" xfId="59" applyNumberFormat="1" applyFont="1" applyAlignment="1">
      <alignment horizontal="center"/>
    </xf>
    <xf numFmtId="178" fontId="61" fillId="0" borderId="0" xfId="59" applyNumberFormat="1" applyFont="1" applyAlignment="1">
      <alignment horizontal="center" vertical="center" wrapText="1"/>
    </xf>
    <xf numFmtId="178" fontId="62" fillId="0" borderId="0" xfId="59" applyNumberFormat="1" applyFont="1" applyAlignment="1">
      <alignment horizontal="center" vertical="center" wrapText="1"/>
    </xf>
    <xf numFmtId="178" fontId="62" fillId="0" borderId="0" xfId="59" applyNumberFormat="1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3" fontId="0" fillId="0" borderId="0" xfId="0" applyNumberFormat="1" applyAlignment="1">
      <alignment wrapText="1"/>
    </xf>
    <xf numFmtId="177" fontId="51" fillId="0" borderId="0" xfId="59" applyNumberFormat="1" applyFont="1" applyFill="1" applyAlignment="1">
      <alignment horizontal="right" vertical="center"/>
    </xf>
    <xf numFmtId="177" fontId="60" fillId="0" borderId="0" xfId="59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 wrapText="1"/>
    </xf>
    <xf numFmtId="37" fontId="52" fillId="0" borderId="0" xfId="59" applyNumberFormat="1" applyFont="1" applyFill="1" applyAlignment="1">
      <alignment horizontal="center" vertical="center"/>
    </xf>
    <xf numFmtId="3" fontId="5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37" fontId="52" fillId="0" borderId="0" xfId="59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177" fontId="53" fillId="0" borderId="0" xfId="59" applyNumberFormat="1" applyFont="1" applyFill="1" applyAlignment="1">
      <alignment vertical="center"/>
    </xf>
    <xf numFmtId="0" fontId="0" fillId="0" borderId="0" xfId="0" applyBorder="1" applyAlignment="1">
      <alignment/>
    </xf>
    <xf numFmtId="0" fontId="1" fillId="0" borderId="0" xfId="52" applyBorder="1" applyAlignment="1">
      <alignment horizontal="center" vertical="center"/>
      <protection/>
    </xf>
    <xf numFmtId="3" fontId="3" fillId="0" borderId="0" xfId="52" applyNumberFormat="1" applyFont="1" applyBorder="1" applyAlignment="1">
      <alignment horizontal="right" vertical="center"/>
      <protection/>
    </xf>
    <xf numFmtId="17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6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51" fillId="0" borderId="0" xfId="0" applyNumberFormat="1" applyFont="1" applyFill="1" applyAlignment="1">
      <alignment horizontal="center" vertical="center" wrapText="1"/>
    </xf>
    <xf numFmtId="3" fontId="42" fillId="0" borderId="0" xfId="0" applyNumberFormat="1" applyFont="1" applyFill="1" applyAlignment="1">
      <alignment horizont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51" fillId="33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3" fontId="53" fillId="0" borderId="0" xfId="0" applyNumberFormat="1" applyFont="1" applyFill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vertical="center" wrapText="1"/>
    </xf>
    <xf numFmtId="37" fontId="0" fillId="0" borderId="0" xfId="0" applyNumberForma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64" fillId="0" borderId="0" xfId="0" applyFont="1" applyFill="1" applyAlignment="1">
      <alignment vertical="center" wrapText="1"/>
    </xf>
    <xf numFmtId="177" fontId="0" fillId="0" borderId="0" xfId="59" applyNumberFormat="1" applyFont="1" applyFill="1" applyAlignment="1">
      <alignment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3" fontId="53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177" fontId="51" fillId="0" borderId="0" xfId="59" applyNumberFormat="1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3" fontId="3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 vertical="center"/>
      <protection/>
    </xf>
    <xf numFmtId="177" fontId="66" fillId="0" borderId="0" xfId="0" applyNumberFormat="1" applyFont="1" applyFill="1" applyAlignment="1">
      <alignment/>
    </xf>
    <xf numFmtId="0" fontId="67" fillId="0" borderId="0" xfId="0" applyFont="1" applyFill="1" applyAlignment="1">
      <alignment vertical="center" wrapText="1"/>
    </xf>
    <xf numFmtId="177" fontId="60" fillId="0" borderId="0" xfId="59" applyNumberFormat="1" applyFont="1" applyFill="1" applyAlignment="1">
      <alignment vertical="center"/>
    </xf>
    <xf numFmtId="3" fontId="58" fillId="0" borderId="0" xfId="0" applyNumberFormat="1" applyFont="1" applyFill="1" applyAlignment="1">
      <alignment horizontal="right" vertical="center"/>
    </xf>
    <xf numFmtId="3" fontId="52" fillId="0" borderId="0" xfId="0" applyNumberFormat="1" applyFont="1" applyFill="1" applyAlignment="1">
      <alignment horizontal="right" vertical="center"/>
    </xf>
    <xf numFmtId="0" fontId="68" fillId="0" borderId="0" xfId="0" applyFont="1" applyFill="1" applyAlignment="1">
      <alignment vertical="center"/>
    </xf>
    <xf numFmtId="177" fontId="53" fillId="0" borderId="0" xfId="59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2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55" fillId="0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40">
      <selection activeCell="G43" sqref="G43"/>
    </sheetView>
  </sheetViews>
  <sheetFormatPr defaultColWidth="9.140625" defaultRowHeight="15"/>
  <cols>
    <col min="1" max="1" width="50.28125" style="54" customWidth="1"/>
    <col min="2" max="2" width="13.7109375" style="54" customWidth="1"/>
    <col min="3" max="3" width="13.28125" style="54" customWidth="1"/>
    <col min="4" max="4" width="15.140625" style="54" customWidth="1"/>
    <col min="5" max="5" width="9.421875" style="54" bestFit="1" customWidth="1"/>
    <col min="6" max="7" width="14.57421875" style="54" bestFit="1" customWidth="1"/>
    <col min="8" max="8" width="9.140625" style="54" customWidth="1"/>
    <col min="9" max="9" width="10.421875" style="54" bestFit="1" customWidth="1"/>
    <col min="10" max="16384" width="9.140625" style="54" customWidth="1"/>
  </cols>
  <sheetData>
    <row r="2" ht="15.75">
      <c r="A2" s="84" t="s">
        <v>33</v>
      </c>
    </row>
    <row r="3" ht="15.75">
      <c r="A3" s="84" t="s">
        <v>34</v>
      </c>
    </row>
    <row r="4" ht="15">
      <c r="A4" s="85"/>
    </row>
    <row r="5" ht="15">
      <c r="A5" s="85"/>
    </row>
    <row r="6" spans="1:4" ht="18.75">
      <c r="A6" s="124" t="s">
        <v>128</v>
      </c>
      <c r="B6" s="124"/>
      <c r="C6" s="124"/>
      <c r="D6" s="124"/>
    </row>
    <row r="7" spans="1:4" ht="15.75">
      <c r="A7" s="125" t="s">
        <v>130</v>
      </c>
      <c r="B7" s="125"/>
      <c r="C7" s="125"/>
      <c r="D7" s="125"/>
    </row>
    <row r="8" ht="18.75">
      <c r="A8" s="86"/>
    </row>
    <row r="9" ht="15">
      <c r="A9" s="105" t="s">
        <v>0</v>
      </c>
    </row>
    <row r="10" ht="15">
      <c r="A10" s="85"/>
    </row>
    <row r="11" spans="1:4" ht="15">
      <c r="A11" s="126"/>
      <c r="B11" s="127" t="s">
        <v>1</v>
      </c>
      <c r="C11" s="122" t="s">
        <v>114</v>
      </c>
      <c r="D11" s="123" t="s">
        <v>2</v>
      </c>
    </row>
    <row r="12" spans="1:4" ht="15">
      <c r="A12" s="126"/>
      <c r="B12" s="127"/>
      <c r="C12" s="122" t="s">
        <v>111</v>
      </c>
      <c r="D12" s="123" t="s">
        <v>97</v>
      </c>
    </row>
    <row r="13" spans="1:4" ht="15">
      <c r="A13" s="106"/>
      <c r="B13" s="106"/>
      <c r="C13" s="122" t="s">
        <v>3</v>
      </c>
      <c r="D13" s="123" t="s">
        <v>4</v>
      </c>
    </row>
    <row r="14" spans="1:9" ht="15">
      <c r="A14" s="106" t="s">
        <v>5</v>
      </c>
      <c r="B14" s="52"/>
      <c r="C14" s="52"/>
      <c r="D14" s="91"/>
      <c r="G14" s="107"/>
      <c r="H14" s="107"/>
      <c r="I14" s="108"/>
    </row>
    <row r="15" spans="1:9" ht="15">
      <c r="A15" s="109" t="s">
        <v>6</v>
      </c>
      <c r="B15" s="89">
        <v>4</v>
      </c>
      <c r="C15" s="110">
        <v>59605</v>
      </c>
      <c r="D15" s="110">
        <v>15051</v>
      </c>
      <c r="G15" s="107"/>
      <c r="H15" s="107"/>
      <c r="I15" s="108"/>
    </row>
    <row r="16" spans="1:9" ht="30">
      <c r="A16" s="111" t="s">
        <v>7</v>
      </c>
      <c r="B16" s="112">
        <v>5</v>
      </c>
      <c r="C16" s="110">
        <v>487796</v>
      </c>
      <c r="D16" s="110">
        <v>366910</v>
      </c>
      <c r="G16" s="113"/>
      <c r="H16" s="114"/>
      <c r="I16" s="113"/>
    </row>
    <row r="17" spans="1:9" ht="15">
      <c r="A17" s="111" t="s">
        <v>8</v>
      </c>
      <c r="B17" s="112">
        <v>7</v>
      </c>
      <c r="C17" s="110">
        <v>29294</v>
      </c>
      <c r="D17" s="110">
        <v>10051</v>
      </c>
      <c r="I17" s="88"/>
    </row>
    <row r="18" spans="1:4" ht="15">
      <c r="A18" s="111" t="s">
        <v>9</v>
      </c>
      <c r="B18" s="112">
        <v>8</v>
      </c>
      <c r="C18" s="110">
        <v>65558</v>
      </c>
      <c r="D18" s="110">
        <v>59558</v>
      </c>
    </row>
    <row r="19" spans="1:4" ht="15">
      <c r="A19" s="111" t="s">
        <v>98</v>
      </c>
      <c r="B19" s="112">
        <v>6</v>
      </c>
      <c r="C19" s="110">
        <v>169641</v>
      </c>
      <c r="D19" s="110">
        <v>208118</v>
      </c>
    </row>
    <row r="20" spans="1:4" ht="15">
      <c r="A20" s="111" t="s">
        <v>10</v>
      </c>
      <c r="B20" s="112">
        <v>9</v>
      </c>
      <c r="C20" s="61">
        <v>18838</v>
      </c>
      <c r="D20" s="61">
        <f>12555+8648</f>
        <v>21203</v>
      </c>
    </row>
    <row r="21" spans="1:7" ht="19.5">
      <c r="A21" s="111" t="s">
        <v>11</v>
      </c>
      <c r="B21" s="112">
        <v>9</v>
      </c>
      <c r="C21" s="61">
        <v>4079</v>
      </c>
      <c r="D21" s="61">
        <v>4633</v>
      </c>
      <c r="F21" s="96"/>
      <c r="G21" s="115"/>
    </row>
    <row r="22" spans="1:4" ht="15">
      <c r="A22" s="111" t="s">
        <v>12</v>
      </c>
      <c r="B22" s="112"/>
      <c r="C22" s="61"/>
      <c r="D22" s="61"/>
    </row>
    <row r="23" spans="1:4" ht="15.75">
      <c r="A23" s="116" t="s">
        <v>13</v>
      </c>
      <c r="B23" s="83"/>
      <c r="C23" s="117">
        <f>SUM(C15:C22)</f>
        <v>834811</v>
      </c>
      <c r="D23" s="117">
        <f>SUM(D15:D22)</f>
        <v>685524</v>
      </c>
    </row>
    <row r="24" spans="1:4" ht="15">
      <c r="A24" s="93"/>
      <c r="B24" s="83"/>
      <c r="C24" s="48"/>
      <c r="D24" s="49"/>
    </row>
    <row r="25" spans="1:4" ht="15">
      <c r="A25" s="93" t="s">
        <v>14</v>
      </c>
      <c r="B25" s="83"/>
      <c r="C25" s="87"/>
      <c r="D25" s="90"/>
    </row>
    <row r="26" spans="1:6" ht="15">
      <c r="A26" s="111" t="s">
        <v>15</v>
      </c>
      <c r="B26" s="112">
        <v>10</v>
      </c>
      <c r="C26" s="61">
        <v>57270</v>
      </c>
      <c r="D26" s="61">
        <v>9101</v>
      </c>
      <c r="F26" s="88"/>
    </row>
    <row r="27" spans="1:6" ht="15">
      <c r="A27" s="111" t="s">
        <v>16</v>
      </c>
      <c r="B27" s="112">
        <v>11</v>
      </c>
      <c r="C27" s="61">
        <v>349</v>
      </c>
      <c r="D27" s="61">
        <v>181</v>
      </c>
      <c r="F27" s="46"/>
    </row>
    <row r="28" spans="1:7" ht="15">
      <c r="A28" s="111" t="s">
        <v>99</v>
      </c>
      <c r="B28" s="112">
        <v>15</v>
      </c>
      <c r="C28" s="61">
        <v>2001</v>
      </c>
      <c r="D28" s="61">
        <v>1881</v>
      </c>
      <c r="F28" s="87"/>
      <c r="G28" s="118"/>
    </row>
    <row r="29" spans="1:7" ht="15">
      <c r="A29" s="111" t="s">
        <v>17</v>
      </c>
      <c r="B29" s="112">
        <v>15</v>
      </c>
      <c r="C29" s="61">
        <v>394764</v>
      </c>
      <c r="D29" s="61">
        <v>370869</v>
      </c>
      <c r="F29" s="88"/>
      <c r="G29" s="118"/>
    </row>
    <row r="30" spans="1:7" ht="15">
      <c r="A30" s="111" t="s">
        <v>101</v>
      </c>
      <c r="B30" s="112">
        <v>14</v>
      </c>
      <c r="C30" s="61">
        <v>8061</v>
      </c>
      <c r="D30" s="61">
        <v>9242</v>
      </c>
      <c r="F30" s="88"/>
      <c r="G30" s="96"/>
    </row>
    <row r="31" spans="1:6" ht="15">
      <c r="A31" s="111" t="s">
        <v>18</v>
      </c>
      <c r="B31" s="112">
        <v>12</v>
      </c>
      <c r="C31" s="61">
        <v>2371</v>
      </c>
      <c r="D31" s="61">
        <v>2106</v>
      </c>
      <c r="F31" s="88"/>
    </row>
    <row r="32" spans="1:6" ht="15">
      <c r="A32" s="111" t="s">
        <v>19</v>
      </c>
      <c r="B32" s="112">
        <v>13</v>
      </c>
      <c r="C32" s="61">
        <f>6067+1059</f>
        <v>7126</v>
      </c>
      <c r="D32" s="61">
        <v>4917</v>
      </c>
      <c r="F32" s="119"/>
    </row>
    <row r="33" spans="1:6" ht="15">
      <c r="A33" s="111" t="s">
        <v>100</v>
      </c>
      <c r="B33" s="112">
        <v>24</v>
      </c>
      <c r="C33" s="61">
        <v>1351</v>
      </c>
      <c r="D33" s="61">
        <v>1351</v>
      </c>
      <c r="F33" s="120"/>
    </row>
    <row r="34" spans="1:7" ht="15.75">
      <c r="A34" s="116" t="s">
        <v>20</v>
      </c>
      <c r="B34" s="112"/>
      <c r="C34" s="47">
        <f>SUM(C26:C33)</f>
        <v>473293</v>
      </c>
      <c r="D34" s="47">
        <f>SUM(D26:D33)</f>
        <v>399648</v>
      </c>
      <c r="F34" s="88"/>
      <c r="G34" s="96"/>
    </row>
    <row r="35" spans="1:6" ht="15">
      <c r="A35" s="93"/>
      <c r="B35" s="83"/>
      <c r="C35" s="48"/>
      <c r="D35" s="49"/>
      <c r="F35" s="88"/>
    </row>
    <row r="36" spans="1:6" ht="15">
      <c r="A36" s="93" t="s">
        <v>21</v>
      </c>
      <c r="B36" s="112"/>
      <c r="C36" s="87"/>
      <c r="D36" s="90"/>
      <c r="F36" s="88"/>
    </row>
    <row r="37" spans="1:6" ht="15">
      <c r="A37" s="111" t="s">
        <v>22</v>
      </c>
      <c r="B37" s="112">
        <v>16</v>
      </c>
      <c r="C37" s="46">
        <v>150000</v>
      </c>
      <c r="D37" s="46">
        <v>100000</v>
      </c>
      <c r="F37" s="88"/>
    </row>
    <row r="38" spans="1:6" ht="15">
      <c r="A38" s="111" t="s">
        <v>23</v>
      </c>
      <c r="B38" s="112">
        <v>16</v>
      </c>
      <c r="C38" s="46">
        <v>63000</v>
      </c>
      <c r="D38" s="46">
        <v>63000</v>
      </c>
      <c r="F38" s="88"/>
    </row>
    <row r="39" spans="1:9" ht="41.25" customHeight="1">
      <c r="A39" s="111" t="s">
        <v>24</v>
      </c>
      <c r="B39" s="112"/>
      <c r="C39" s="46">
        <v>85476</v>
      </c>
      <c r="D39" s="46">
        <v>54625</v>
      </c>
      <c r="E39" s="96"/>
      <c r="I39" s="96"/>
    </row>
    <row r="40" spans="1:4" ht="60">
      <c r="A40" s="111" t="s">
        <v>25</v>
      </c>
      <c r="B40" s="112"/>
      <c r="C40" s="121">
        <v>38202</v>
      </c>
      <c r="D40" s="46">
        <v>26093</v>
      </c>
    </row>
    <row r="41" spans="1:5" ht="15">
      <c r="A41" s="111" t="s">
        <v>27</v>
      </c>
      <c r="B41" s="112"/>
      <c r="C41" s="121">
        <v>24840</v>
      </c>
      <c r="D41" s="46">
        <v>42158</v>
      </c>
      <c r="E41" s="96"/>
    </row>
    <row r="42" spans="1:6" ht="15.75">
      <c r="A42" s="116"/>
      <c r="B42" s="83"/>
      <c r="C42" s="46"/>
      <c r="D42" s="46"/>
      <c r="F42" s="119"/>
    </row>
    <row r="43" spans="1:6" ht="15.75">
      <c r="A43" s="116" t="s">
        <v>28</v>
      </c>
      <c r="B43" s="83"/>
      <c r="C43" s="47">
        <f>SUM(C37:C42)</f>
        <v>361518</v>
      </c>
      <c r="D43" s="47">
        <f>SUM(D37:D42)</f>
        <v>285876</v>
      </c>
      <c r="F43" s="119"/>
    </row>
    <row r="44" spans="1:8" ht="15.75">
      <c r="A44" s="116" t="s">
        <v>29</v>
      </c>
      <c r="B44" s="83"/>
      <c r="C44" s="47">
        <f>C34+C43</f>
        <v>834811</v>
      </c>
      <c r="D44" s="47">
        <f>D34+D43</f>
        <v>685524</v>
      </c>
      <c r="H44" s="96"/>
    </row>
    <row r="45" ht="15">
      <c r="A45" s="85"/>
    </row>
    <row r="46" ht="15">
      <c r="A46" s="85"/>
    </row>
    <row r="47" spans="1:4" ht="15.75" thickBot="1">
      <c r="A47" s="99" t="s">
        <v>30</v>
      </c>
      <c r="B47" s="101" t="s">
        <v>126</v>
      </c>
      <c r="C47" s="100"/>
      <c r="D47" s="101"/>
    </row>
    <row r="48" spans="1:4" ht="15">
      <c r="A48" s="100"/>
      <c r="B48" s="146" t="s">
        <v>31</v>
      </c>
      <c r="C48" s="102"/>
      <c r="D48" s="102" t="s">
        <v>35</v>
      </c>
    </row>
    <row r="49" spans="1:4" ht="15.75" thickBot="1">
      <c r="A49" s="99" t="s">
        <v>32</v>
      </c>
      <c r="B49" s="145" t="s">
        <v>112</v>
      </c>
      <c r="C49" s="100"/>
      <c r="D49" s="101"/>
    </row>
    <row r="50" spans="1:4" ht="15">
      <c r="A50" s="100"/>
      <c r="B50" s="144" t="s">
        <v>31</v>
      </c>
      <c r="C50" s="100"/>
      <c r="D50" s="102" t="s">
        <v>35</v>
      </c>
    </row>
    <row r="51" spans="1:2" ht="15">
      <c r="A51" s="85"/>
      <c r="B51" s="103" t="s">
        <v>36</v>
      </c>
    </row>
    <row r="52" ht="15">
      <c r="A52" s="85"/>
    </row>
    <row r="53" ht="15">
      <c r="A53" s="104" t="s">
        <v>127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zoomScalePageLayoutView="0" workbookViewId="0" topLeftCell="A31">
      <selection activeCell="I37" sqref="I37"/>
    </sheetView>
  </sheetViews>
  <sheetFormatPr defaultColWidth="9.140625" defaultRowHeight="15"/>
  <cols>
    <col min="1" max="1" width="50.140625" style="54" customWidth="1"/>
    <col min="2" max="2" width="10.8515625" style="54" customWidth="1"/>
    <col min="3" max="3" width="13.00390625" style="54" customWidth="1"/>
    <col min="4" max="4" width="14.00390625" style="54" customWidth="1"/>
    <col min="5" max="5" width="9.140625" style="54" customWidth="1"/>
    <col min="6" max="6" width="10.28125" style="54" customWidth="1"/>
    <col min="7" max="16384" width="9.140625" style="54" customWidth="1"/>
  </cols>
  <sheetData>
    <row r="2" ht="15.75">
      <c r="A2" s="84" t="s">
        <v>33</v>
      </c>
    </row>
    <row r="3" ht="15.75">
      <c r="A3" s="84" t="s">
        <v>34</v>
      </c>
    </row>
    <row r="4" ht="15">
      <c r="A4" s="85"/>
    </row>
    <row r="5" ht="15">
      <c r="A5" s="85"/>
    </row>
    <row r="6" ht="15">
      <c r="A6" s="85"/>
    </row>
    <row r="7" spans="1:9" ht="18.75">
      <c r="A7" s="124" t="s">
        <v>129</v>
      </c>
      <c r="B7" s="124"/>
      <c r="C7" s="124"/>
      <c r="D7" s="124"/>
      <c r="E7" s="124"/>
      <c r="F7" s="124"/>
      <c r="G7" s="124"/>
      <c r="H7" s="124"/>
      <c r="I7" s="124"/>
    </row>
    <row r="8" spans="1:9" ht="15">
      <c r="A8" s="129" t="s">
        <v>120</v>
      </c>
      <c r="B8" s="129"/>
      <c r="C8" s="129"/>
      <c r="D8" s="129"/>
      <c r="E8" s="129"/>
      <c r="F8" s="129"/>
      <c r="G8" s="129"/>
      <c r="H8" s="129"/>
      <c r="I8" s="129"/>
    </row>
    <row r="9" ht="18.75">
      <c r="A9" s="86"/>
    </row>
    <row r="10" ht="15">
      <c r="A10" s="87" t="s">
        <v>37</v>
      </c>
    </row>
    <row r="11" spans="1:4" ht="15">
      <c r="A11" s="128"/>
      <c r="B11" s="126"/>
      <c r="C11" s="127" t="s">
        <v>119</v>
      </c>
      <c r="D11" s="127"/>
    </row>
    <row r="12" spans="1:4" ht="15">
      <c r="A12" s="128"/>
      <c r="B12" s="126"/>
      <c r="C12" s="127" t="s">
        <v>115</v>
      </c>
      <c r="D12" s="127"/>
    </row>
    <row r="13" spans="1:4" ht="32.25" customHeight="1">
      <c r="A13" s="128"/>
      <c r="B13" s="127" t="s">
        <v>1</v>
      </c>
      <c r="C13" s="83" t="s">
        <v>116</v>
      </c>
      <c r="D13" s="83" t="s">
        <v>113</v>
      </c>
    </row>
    <row r="14" spans="1:9" ht="19.5" customHeight="1">
      <c r="A14" s="128"/>
      <c r="B14" s="127"/>
      <c r="C14" s="83" t="s">
        <v>3</v>
      </c>
      <c r="D14" s="83" t="s">
        <v>3</v>
      </c>
      <c r="I14" s="88"/>
    </row>
    <row r="15" spans="1:9" ht="15">
      <c r="A15" s="52"/>
      <c r="B15" s="89"/>
      <c r="C15" s="89"/>
      <c r="D15" s="90"/>
      <c r="I15" s="87"/>
    </row>
    <row r="16" spans="1:9" ht="14.25" customHeight="1" hidden="1">
      <c r="A16" s="91" t="s">
        <v>38</v>
      </c>
      <c r="B16" s="89"/>
      <c r="C16" s="50"/>
      <c r="D16" s="50"/>
      <c r="I16" s="87"/>
    </row>
    <row r="17" spans="1:10" ht="15">
      <c r="A17" s="91" t="s">
        <v>102</v>
      </c>
      <c r="B17" s="89">
        <v>17</v>
      </c>
      <c r="C17" s="50">
        <f>11891+14710</f>
        <v>26601</v>
      </c>
      <c r="D17" s="50">
        <f>40392+38468</f>
        <v>78860</v>
      </c>
      <c r="F17" s="92"/>
      <c r="I17" s="87"/>
      <c r="J17" s="88"/>
    </row>
    <row r="18" spans="1:10" ht="15">
      <c r="A18" s="91" t="s">
        <v>103</v>
      </c>
      <c r="B18" s="89">
        <v>18</v>
      </c>
      <c r="C18" s="50">
        <f>-13483-13053</f>
        <v>-26536</v>
      </c>
      <c r="D18" s="50">
        <f>-12257-12391</f>
        <v>-24648</v>
      </c>
      <c r="F18" s="92"/>
      <c r="I18" s="87"/>
      <c r="J18" s="87"/>
    </row>
    <row r="19" spans="1:10" ht="15">
      <c r="A19" s="91" t="s">
        <v>105</v>
      </c>
      <c r="B19" s="89">
        <v>20</v>
      </c>
      <c r="C19" s="50">
        <f>21243+10141+367-2541-81-190-10+6769</f>
        <v>35698</v>
      </c>
      <c r="D19" s="50">
        <f>-2472-1567</f>
        <v>-4039</v>
      </c>
      <c r="F19" s="92"/>
      <c r="I19" s="88"/>
      <c r="J19" s="87"/>
    </row>
    <row r="20" spans="1:10" ht="15">
      <c r="A20" s="91" t="s">
        <v>39</v>
      </c>
      <c r="B20" s="89">
        <v>22</v>
      </c>
      <c r="C20" s="50">
        <f>2785+6417</f>
        <v>9202</v>
      </c>
      <c r="D20" s="50">
        <f>1045+614</f>
        <v>1659</v>
      </c>
      <c r="I20" s="87"/>
      <c r="J20" s="87"/>
    </row>
    <row r="21" spans="1:10" ht="15">
      <c r="A21" s="91" t="s">
        <v>104</v>
      </c>
      <c r="B21" s="89">
        <v>19</v>
      </c>
      <c r="C21" s="50">
        <f>-8797-8318</f>
        <v>-17115</v>
      </c>
      <c r="D21" s="50">
        <f>-11886-14187</f>
        <v>-26073</v>
      </c>
      <c r="I21" s="87"/>
      <c r="J21" s="87"/>
    </row>
    <row r="22" spans="1:10" ht="15">
      <c r="A22" s="91" t="s">
        <v>40</v>
      </c>
      <c r="B22" s="89">
        <v>21</v>
      </c>
      <c r="C22" s="50">
        <f>-9668-9438</f>
        <v>-19106</v>
      </c>
      <c r="D22" s="50">
        <f>-10157-10411</f>
        <v>-20568</v>
      </c>
      <c r="I22" s="87"/>
      <c r="J22" s="88"/>
    </row>
    <row r="23" spans="1:10" ht="15">
      <c r="A23" s="91" t="s">
        <v>106</v>
      </c>
      <c r="B23" s="89">
        <v>23</v>
      </c>
      <c r="C23" s="50">
        <f>-4025-9888+1</f>
        <v>-13912</v>
      </c>
      <c r="D23" s="50">
        <f>-117-103</f>
        <v>-220</v>
      </c>
      <c r="I23" s="87"/>
      <c r="J23" s="87"/>
    </row>
    <row r="24" spans="1:10" ht="21" customHeight="1">
      <c r="A24" s="91" t="s">
        <v>63</v>
      </c>
      <c r="B24" s="89">
        <v>6</v>
      </c>
      <c r="C24" s="50">
        <v>-12150</v>
      </c>
      <c r="D24" s="50">
        <f>-795-11060</f>
        <v>-11855</v>
      </c>
      <c r="I24" s="87"/>
      <c r="J24" s="87"/>
    </row>
    <row r="25" spans="1:10" ht="15">
      <c r="A25" s="93" t="s">
        <v>41</v>
      </c>
      <c r="B25" s="94"/>
      <c r="C25" s="50">
        <f>C17+C18+C19+C20+C21+C22+C24+C23</f>
        <v>-17318</v>
      </c>
      <c r="D25" s="50">
        <f>D17+D18+D19+D20+D21+D22+D24+D23</f>
        <v>-6884</v>
      </c>
      <c r="E25" s="50"/>
      <c r="F25" s="92"/>
      <c r="G25" s="92"/>
      <c r="H25" s="92"/>
      <c r="I25" s="87"/>
      <c r="J25" s="87"/>
    </row>
    <row r="26" spans="1:10" ht="15">
      <c r="A26" s="91" t="s">
        <v>42</v>
      </c>
      <c r="B26" s="89"/>
      <c r="C26" s="50"/>
      <c r="D26" s="50"/>
      <c r="E26" s="50"/>
      <c r="I26" s="95"/>
      <c r="J26" s="87"/>
    </row>
    <row r="27" spans="1:10" ht="15">
      <c r="A27" s="93" t="s">
        <v>43</v>
      </c>
      <c r="B27" s="94"/>
      <c r="C27" s="50">
        <f>C25-C26</f>
        <v>-17318</v>
      </c>
      <c r="D27" s="50">
        <f>D25-D26</f>
        <v>-6884</v>
      </c>
      <c r="E27" s="50"/>
      <c r="F27" s="96"/>
      <c r="J27" s="87"/>
    </row>
    <row r="28" spans="1:10" ht="15">
      <c r="A28" s="93" t="s">
        <v>44</v>
      </c>
      <c r="B28" s="94"/>
      <c r="C28" s="50"/>
      <c r="D28" s="50"/>
      <c r="J28" s="87"/>
    </row>
    <row r="29" spans="1:10" ht="40.5">
      <c r="A29" s="97" t="s">
        <v>45</v>
      </c>
      <c r="B29" s="89"/>
      <c r="C29" s="50"/>
      <c r="D29" s="50"/>
      <c r="J29" s="95"/>
    </row>
    <row r="30" spans="1:10" ht="38.25">
      <c r="A30" s="91" t="s">
        <v>46</v>
      </c>
      <c r="B30" s="89"/>
      <c r="C30" s="50">
        <f>22207-20171</f>
        <v>2036</v>
      </c>
      <c r="D30" s="50">
        <f>289-541</f>
        <v>-252</v>
      </c>
      <c r="J30" s="87"/>
    </row>
    <row r="31" spans="1:4" ht="38.25">
      <c r="A31" s="91" t="s">
        <v>47</v>
      </c>
      <c r="B31" s="89"/>
      <c r="C31" s="50">
        <f>0+8688</f>
        <v>8688</v>
      </c>
      <c r="D31" s="50">
        <f>37-71</f>
        <v>-34</v>
      </c>
    </row>
    <row r="32" spans="1:4" ht="38.25">
      <c r="A32" s="93" t="s">
        <v>48</v>
      </c>
      <c r="B32" s="94"/>
      <c r="C32" s="50">
        <f>C31+C30</f>
        <v>10724</v>
      </c>
      <c r="D32" s="50">
        <f>D31+D30</f>
        <v>-286</v>
      </c>
    </row>
    <row r="33" spans="1:4" ht="40.5">
      <c r="A33" s="97" t="s">
        <v>49</v>
      </c>
      <c r="B33" s="89"/>
      <c r="C33" s="50"/>
      <c r="D33" s="50"/>
    </row>
    <row r="34" spans="1:4" ht="38.25">
      <c r="A34" s="91" t="s">
        <v>50</v>
      </c>
      <c r="B34" s="89"/>
      <c r="C34" s="50">
        <f>22653+6162</f>
        <v>28815</v>
      </c>
      <c r="D34" s="50">
        <f>-7482-50345</f>
        <v>-57827</v>
      </c>
    </row>
    <row r="35" spans="1:4" ht="38.25">
      <c r="A35" s="93" t="s">
        <v>51</v>
      </c>
      <c r="B35" s="89"/>
      <c r="C35" s="50">
        <f>C34</f>
        <v>28815</v>
      </c>
      <c r="D35" s="50">
        <f>D34</f>
        <v>-57827</v>
      </c>
    </row>
    <row r="36" spans="1:4" ht="15">
      <c r="A36" s="93" t="s">
        <v>52</v>
      </c>
      <c r="B36" s="89"/>
      <c r="C36" s="50">
        <f>C32+C35</f>
        <v>39539</v>
      </c>
      <c r="D36" s="50">
        <f>D32+D35</f>
        <v>-58113</v>
      </c>
    </row>
    <row r="37" spans="1:4" ht="15">
      <c r="A37" s="93" t="s">
        <v>53</v>
      </c>
      <c r="B37" s="89"/>
      <c r="C37" s="50">
        <f>C27+C36</f>
        <v>22221</v>
      </c>
      <c r="D37" s="50">
        <f>D27+D36</f>
        <v>-64997</v>
      </c>
    </row>
    <row r="38" spans="1:4" ht="15">
      <c r="A38" s="82"/>
      <c r="C38" s="98"/>
      <c r="D38" s="98"/>
    </row>
    <row r="39" spans="1:4" ht="15">
      <c r="A39" s="85"/>
      <c r="C39" s="98"/>
      <c r="D39" s="98"/>
    </row>
    <row r="40" ht="15">
      <c r="A40" s="85"/>
    </row>
    <row r="41" ht="15">
      <c r="A41" s="85"/>
    </row>
    <row r="42" ht="15">
      <c r="A42" s="85"/>
    </row>
    <row r="43" spans="1:6" ht="15.75" thickBot="1">
      <c r="A43" s="99" t="s">
        <v>30</v>
      </c>
      <c r="B43" s="145" t="s">
        <v>126</v>
      </c>
      <c r="C43" s="100"/>
      <c r="D43" s="101"/>
      <c r="F43" s="100"/>
    </row>
    <row r="44" spans="1:6" ht="15">
      <c r="A44" s="100"/>
      <c r="B44" s="144" t="s">
        <v>31</v>
      </c>
      <c r="C44" s="100"/>
      <c r="D44" s="102" t="s">
        <v>35</v>
      </c>
      <c r="F44" s="100"/>
    </row>
    <row r="45" spans="1:6" ht="15.75" thickBot="1">
      <c r="A45" s="99" t="s">
        <v>32</v>
      </c>
      <c r="B45" s="145" t="s">
        <v>112</v>
      </c>
      <c r="C45" s="100"/>
      <c r="D45" s="101"/>
      <c r="F45" s="99"/>
    </row>
    <row r="46" spans="1:6" ht="15">
      <c r="A46" s="100"/>
      <c r="B46" s="144" t="s">
        <v>31</v>
      </c>
      <c r="C46" s="100"/>
      <c r="D46" s="102" t="s">
        <v>35</v>
      </c>
      <c r="F46" s="100"/>
    </row>
    <row r="47" ht="15">
      <c r="A47" s="85"/>
    </row>
    <row r="48" spans="1:2" ht="15">
      <c r="A48" s="85"/>
      <c r="B48" s="103" t="s">
        <v>36</v>
      </c>
    </row>
    <row r="49" ht="15">
      <c r="A49" s="85"/>
    </row>
    <row r="50" ht="15">
      <c r="A50" s="85"/>
    </row>
    <row r="51" ht="15">
      <c r="A51" s="104" t="s">
        <v>131</v>
      </c>
    </row>
  </sheetData>
  <sheetProtection/>
  <mergeCells count="8">
    <mergeCell ref="A13:A14"/>
    <mergeCell ref="B13:B14"/>
    <mergeCell ref="A7:I7"/>
    <mergeCell ref="A8:I8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110" zoomScaleNormal="110" zoomScalePageLayoutView="0" workbookViewId="0" topLeftCell="A16">
      <selection activeCell="I11" sqref="I11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4.14062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  <col min="8" max="8" width="9.8515625" style="0" bestFit="1" customWidth="1"/>
  </cols>
  <sheetData>
    <row r="1" ht="15.75">
      <c r="A1" s="11" t="s">
        <v>33</v>
      </c>
    </row>
    <row r="2" ht="15.75">
      <c r="A2" s="11" t="s">
        <v>34</v>
      </c>
    </row>
    <row r="4" spans="1:6" ht="18.75">
      <c r="A4" s="134" t="s">
        <v>132</v>
      </c>
      <c r="B4" s="134"/>
      <c r="C4" s="134"/>
      <c r="D4" s="134"/>
      <c r="E4" s="134"/>
      <c r="F4" s="134"/>
    </row>
    <row r="5" spans="1:6" ht="15">
      <c r="A5" s="135" t="s">
        <v>120</v>
      </c>
      <c r="B5" s="135"/>
      <c r="C5" s="135"/>
      <c r="D5" s="135"/>
      <c r="E5" s="135"/>
      <c r="F5" s="135"/>
    </row>
    <row r="6" ht="15">
      <c r="A6" s="12"/>
    </row>
    <row r="7" ht="15">
      <c r="A7" s="14"/>
    </row>
    <row r="8" spans="1:8" ht="15">
      <c r="A8" s="137"/>
      <c r="B8" s="137"/>
      <c r="C8" s="23"/>
      <c r="D8" s="138"/>
      <c r="E8" s="138"/>
      <c r="F8" s="143" t="s">
        <v>58</v>
      </c>
      <c r="G8" s="13"/>
      <c r="H8" s="13"/>
    </row>
    <row r="9" spans="1:8" ht="42" customHeight="1">
      <c r="A9" s="132"/>
      <c r="B9" s="131" t="s">
        <v>22</v>
      </c>
      <c r="C9" s="131" t="s">
        <v>54</v>
      </c>
      <c r="D9" s="133" t="s">
        <v>24</v>
      </c>
      <c r="E9" s="133" t="s">
        <v>25</v>
      </c>
      <c r="F9" s="131" t="s">
        <v>57</v>
      </c>
      <c r="G9" s="131" t="s">
        <v>28</v>
      </c>
      <c r="H9" s="130"/>
    </row>
    <row r="10" spans="1:8" ht="36.75" customHeight="1">
      <c r="A10" s="132"/>
      <c r="B10" s="131"/>
      <c r="C10" s="131"/>
      <c r="D10" s="133"/>
      <c r="E10" s="133"/>
      <c r="F10" s="131"/>
      <c r="G10" s="131"/>
      <c r="H10" s="130"/>
    </row>
    <row r="11" spans="1:8" ht="54" customHeight="1">
      <c r="A11" s="132"/>
      <c r="B11" s="131"/>
      <c r="C11" s="131"/>
      <c r="D11" s="133"/>
      <c r="E11" s="133"/>
      <c r="F11" s="131"/>
      <c r="G11" s="131"/>
      <c r="H11" s="130"/>
    </row>
    <row r="12" spans="1:13" ht="15">
      <c r="A12" s="3" t="s">
        <v>122</v>
      </c>
      <c r="B12" s="31">
        <v>100000</v>
      </c>
      <c r="C12" s="31">
        <v>63000</v>
      </c>
      <c r="D12" s="31">
        <v>78014</v>
      </c>
      <c r="E12" s="31">
        <v>655</v>
      </c>
      <c r="F12" s="31">
        <v>36355</v>
      </c>
      <c r="G12" s="31">
        <f>SUM(B12:F12)</f>
        <v>278024</v>
      </c>
      <c r="H12" s="4"/>
      <c r="K12" s="62"/>
      <c r="L12" s="64"/>
      <c r="M12" s="64"/>
    </row>
    <row r="13" spans="1:13" ht="15">
      <c r="A13" s="26" t="s">
        <v>64</v>
      </c>
      <c r="B13" s="33"/>
      <c r="C13" s="33"/>
      <c r="D13" s="31"/>
      <c r="E13" s="32"/>
      <c r="F13" s="31"/>
      <c r="G13" s="31">
        <f>SUM(B13:F13)</f>
        <v>0</v>
      </c>
      <c r="H13" s="24"/>
      <c r="K13" s="62"/>
      <c r="L13" s="63"/>
      <c r="M13" s="63"/>
    </row>
    <row r="14" spans="1:13" ht="15">
      <c r="A14" s="5" t="s">
        <v>55</v>
      </c>
      <c r="C14" s="34"/>
      <c r="D14" s="33">
        <f>D17-D12</f>
        <v>-58080</v>
      </c>
      <c r="E14" s="33">
        <f>E17-E12</f>
        <v>-34</v>
      </c>
      <c r="F14" s="33">
        <f>F17-F12</f>
        <v>-6884</v>
      </c>
      <c r="G14" s="31">
        <f>SUM(D14:F14)</f>
        <v>-64998</v>
      </c>
      <c r="H14" s="4"/>
      <c r="K14" s="62"/>
      <c r="L14" s="64"/>
      <c r="M14" s="64"/>
    </row>
    <row r="15" spans="1:13" ht="15">
      <c r="A15" s="5" t="s">
        <v>44</v>
      </c>
      <c r="B15" s="33" t="s">
        <v>26</v>
      </c>
      <c r="C15" s="33"/>
      <c r="F15" s="33"/>
      <c r="G15" s="31"/>
      <c r="H15" s="4"/>
      <c r="K15" s="62"/>
      <c r="L15" s="64"/>
      <c r="M15" s="64"/>
    </row>
    <row r="16" spans="1:13" ht="15">
      <c r="A16" s="3" t="s">
        <v>56</v>
      </c>
      <c r="B16" s="31">
        <f>B13</f>
        <v>0</v>
      </c>
      <c r="C16" s="33">
        <f>C15</f>
        <v>0</v>
      </c>
      <c r="D16" s="33">
        <f>D14</f>
        <v>-58080</v>
      </c>
      <c r="E16" s="33">
        <f>E14</f>
        <v>-34</v>
      </c>
      <c r="F16" s="33">
        <f>F14</f>
        <v>-6884</v>
      </c>
      <c r="G16" s="33">
        <f>SUM(B16:F16)</f>
        <v>-64998</v>
      </c>
      <c r="H16" s="4"/>
      <c r="K16" s="62"/>
      <c r="L16" s="64"/>
      <c r="M16" s="64"/>
    </row>
    <row r="17" spans="1:13" ht="15">
      <c r="A17" s="78" t="s">
        <v>117</v>
      </c>
      <c r="B17" s="31">
        <f>B12+B13</f>
        <v>100000</v>
      </c>
      <c r="C17" s="31">
        <f>C12+C16</f>
        <v>63000</v>
      </c>
      <c r="D17" s="31">
        <v>19934</v>
      </c>
      <c r="E17" s="31">
        <v>621</v>
      </c>
      <c r="F17" s="31">
        <v>29471</v>
      </c>
      <c r="G17" s="31">
        <f>G12+G16</f>
        <v>213026</v>
      </c>
      <c r="H17" s="130"/>
      <c r="K17" s="65"/>
      <c r="L17" s="64"/>
      <c r="M17" s="64"/>
    </row>
    <row r="18" spans="1:13" ht="15">
      <c r="A18" s="3"/>
      <c r="B18" s="35"/>
      <c r="C18" s="34"/>
      <c r="D18" s="33"/>
      <c r="E18" s="34"/>
      <c r="F18" s="34"/>
      <c r="G18" s="34"/>
      <c r="H18" s="130"/>
      <c r="K18" s="62"/>
      <c r="L18" s="64"/>
      <c r="M18" s="64"/>
    </row>
    <row r="19" spans="1:13" ht="15">
      <c r="A19" s="5"/>
      <c r="B19" s="33"/>
      <c r="C19" s="36"/>
      <c r="D19" s="37"/>
      <c r="E19" s="34"/>
      <c r="F19" s="36"/>
      <c r="G19" s="36"/>
      <c r="H19" s="4"/>
      <c r="K19" s="66"/>
      <c r="L19" s="64"/>
      <c r="M19" s="64"/>
    </row>
    <row r="20" spans="1:13" ht="15">
      <c r="A20" s="78" t="s">
        <v>121</v>
      </c>
      <c r="B20" s="31">
        <v>100000</v>
      </c>
      <c r="C20" s="31">
        <v>63000</v>
      </c>
      <c r="D20" s="38">
        <v>54625</v>
      </c>
      <c r="E20" s="38">
        <v>26093</v>
      </c>
      <c r="F20" s="38">
        <v>42158</v>
      </c>
      <c r="G20" s="38">
        <f>SUM(B20:F20)</f>
        <v>285876</v>
      </c>
      <c r="H20" s="4"/>
      <c r="K20" s="66"/>
      <c r="L20" s="64"/>
      <c r="M20" s="64"/>
    </row>
    <row r="21" spans="1:13" ht="15">
      <c r="A21" s="26" t="s">
        <v>54</v>
      </c>
      <c r="B21" s="31">
        <v>50000</v>
      </c>
      <c r="C21" s="33"/>
      <c r="D21" s="38"/>
      <c r="E21" s="38"/>
      <c r="F21" s="38"/>
      <c r="G21" s="38">
        <f>SUM(B21:F21)</f>
        <v>50000</v>
      </c>
      <c r="H21" s="24"/>
      <c r="K21" s="66"/>
      <c r="L21" s="64"/>
      <c r="M21" s="64"/>
    </row>
    <row r="22" spans="1:13" ht="15">
      <c r="A22" s="5" t="s">
        <v>55</v>
      </c>
      <c r="B22" s="33" t="s">
        <v>26</v>
      </c>
      <c r="D22" s="39">
        <f>D25-D20</f>
        <v>30851</v>
      </c>
      <c r="E22" s="39">
        <f>E25-E20</f>
        <v>12109</v>
      </c>
      <c r="F22" s="39">
        <f>F25-F20</f>
        <v>-17318</v>
      </c>
      <c r="G22" s="38">
        <f>SUM(C22:F22)</f>
        <v>25642</v>
      </c>
      <c r="H22" s="4"/>
      <c r="K22" s="66"/>
      <c r="L22" s="64"/>
      <c r="M22" s="64"/>
    </row>
    <row r="23" spans="1:13" ht="15">
      <c r="A23" s="5" t="s">
        <v>44</v>
      </c>
      <c r="B23" s="31" t="s">
        <v>26</v>
      </c>
      <c r="C23" s="40"/>
      <c r="D23" s="39" t="s">
        <v>26</v>
      </c>
      <c r="E23" s="32"/>
      <c r="F23" s="32" t="s">
        <v>26</v>
      </c>
      <c r="G23" s="32" t="s">
        <v>26</v>
      </c>
      <c r="H23" s="4"/>
      <c r="K23" s="66"/>
      <c r="L23" s="64"/>
      <c r="M23" s="64"/>
    </row>
    <row r="24" spans="1:13" ht="15">
      <c r="A24" s="3" t="s">
        <v>56</v>
      </c>
      <c r="B24" s="31" t="s">
        <v>26</v>
      </c>
      <c r="C24" s="31">
        <f>C21</f>
        <v>0</v>
      </c>
      <c r="D24" s="31">
        <f>D22</f>
        <v>30851</v>
      </c>
      <c r="E24" s="31">
        <f>E22</f>
        <v>12109</v>
      </c>
      <c r="F24" s="31">
        <f>F22</f>
        <v>-17318</v>
      </c>
      <c r="G24" s="31">
        <f>G21+G22</f>
        <v>75642</v>
      </c>
      <c r="H24" s="4"/>
      <c r="K24" s="66"/>
      <c r="L24" s="64"/>
      <c r="M24" s="64"/>
    </row>
    <row r="25" spans="1:13" ht="15">
      <c r="A25" s="3" t="s">
        <v>118</v>
      </c>
      <c r="B25" s="31">
        <f>B20+B21</f>
        <v>150000</v>
      </c>
      <c r="C25" s="31">
        <f>C20+C21</f>
        <v>63000</v>
      </c>
      <c r="D25" s="31">
        <v>85476</v>
      </c>
      <c r="E25" s="31">
        <v>38202</v>
      </c>
      <c r="F25" s="31">
        <v>24840</v>
      </c>
      <c r="G25" s="31">
        <f>SUM(B25:F25)</f>
        <v>361518</v>
      </c>
      <c r="H25" s="4"/>
      <c r="K25" s="62"/>
      <c r="L25" s="64"/>
      <c r="M25" s="64"/>
    </row>
    <row r="26" spans="1:8" ht="15">
      <c r="A26" s="136"/>
      <c r="B26" s="136"/>
      <c r="C26" s="25"/>
      <c r="D26" s="13"/>
      <c r="E26" s="13"/>
      <c r="H26" s="2"/>
    </row>
    <row r="27" spans="1:8" ht="15">
      <c r="A27" s="15"/>
      <c r="B27" s="15"/>
      <c r="C27" s="15"/>
      <c r="D27" s="15"/>
      <c r="E27" s="15"/>
      <c r="H27" s="15"/>
    </row>
    <row r="28" spans="1:7" ht="15">
      <c r="A28" s="16"/>
      <c r="B28" s="17"/>
      <c r="C28" s="17"/>
      <c r="D28" s="17"/>
      <c r="E28" s="17"/>
      <c r="G28" s="6"/>
    </row>
    <row r="29" spans="1:7" ht="15">
      <c r="A29" s="16"/>
      <c r="B29" s="17"/>
      <c r="C29" s="17"/>
      <c r="D29" s="17"/>
      <c r="E29" s="17"/>
      <c r="F29" s="27"/>
      <c r="G29" s="27"/>
    </row>
    <row r="30" spans="1:7" ht="15">
      <c r="A30" s="18"/>
      <c r="B30" s="17"/>
      <c r="C30" s="17"/>
      <c r="D30" s="17"/>
      <c r="E30" s="17"/>
      <c r="F30" s="27"/>
      <c r="G30" s="27"/>
    </row>
    <row r="31" spans="1:8" ht="15">
      <c r="A31" s="18"/>
      <c r="B31" s="17"/>
      <c r="C31" s="17"/>
      <c r="D31" s="17"/>
      <c r="E31" s="17"/>
      <c r="F31" s="27"/>
      <c r="G31" s="27"/>
      <c r="H31" s="30"/>
    </row>
    <row r="32" spans="1:8" ht="15.75" thickBot="1">
      <c r="A32" s="130" t="s">
        <v>30</v>
      </c>
      <c r="B32" s="130"/>
      <c r="C32" s="130"/>
      <c r="D32" s="20" t="s">
        <v>126</v>
      </c>
      <c r="E32" s="17"/>
      <c r="F32" s="28"/>
      <c r="G32" s="27"/>
      <c r="H32" s="30"/>
    </row>
    <row r="33" spans="1:8" ht="22.5">
      <c r="A33" s="19"/>
      <c r="B33" s="19"/>
      <c r="C33" s="19"/>
      <c r="D33" s="21" t="s">
        <v>31</v>
      </c>
      <c r="E33" s="17"/>
      <c r="F33" s="28"/>
      <c r="G33" s="27"/>
      <c r="H33" s="30"/>
    </row>
    <row r="34" spans="1:8" ht="15.75" thickBot="1">
      <c r="A34" s="130" t="s">
        <v>32</v>
      </c>
      <c r="B34" s="130"/>
      <c r="C34" s="130"/>
      <c r="D34" s="20" t="s">
        <v>112</v>
      </c>
      <c r="E34" s="17"/>
      <c r="F34" s="27"/>
      <c r="G34" s="27"/>
      <c r="H34" s="17"/>
    </row>
    <row r="35" spans="1:8" ht="22.5">
      <c r="A35" s="19"/>
      <c r="B35" s="18" t="s">
        <v>36</v>
      </c>
      <c r="C35" s="19"/>
      <c r="D35" s="21" t="s">
        <v>31</v>
      </c>
      <c r="E35" s="17"/>
      <c r="F35" s="29"/>
      <c r="G35" s="29"/>
      <c r="H35" s="17"/>
    </row>
    <row r="36" spans="1:8" ht="15">
      <c r="A36" s="4"/>
      <c r="B36" s="17"/>
      <c r="C36" s="17"/>
      <c r="D36" s="17"/>
      <c r="E36" s="17"/>
      <c r="F36" s="17"/>
      <c r="G36" s="27"/>
      <c r="H36" s="17"/>
    </row>
    <row r="37" spans="1:8" ht="15">
      <c r="A37" s="4"/>
      <c r="B37" s="17"/>
      <c r="C37" s="17"/>
      <c r="D37" s="17"/>
      <c r="E37" s="17"/>
      <c r="F37" s="17"/>
      <c r="G37" s="28"/>
      <c r="H37" s="17"/>
    </row>
    <row r="38" spans="1:8" ht="15">
      <c r="A38" s="4"/>
      <c r="B38" s="17"/>
      <c r="C38" s="17"/>
      <c r="D38" s="17"/>
      <c r="E38" s="17"/>
      <c r="F38" s="17"/>
      <c r="G38" s="28"/>
      <c r="H38" s="17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0" t="s">
        <v>131</v>
      </c>
    </row>
  </sheetData>
  <sheetProtection/>
  <mergeCells count="16">
    <mergeCell ref="A4:F4"/>
    <mergeCell ref="A5:F5"/>
    <mergeCell ref="F9:F11"/>
    <mergeCell ref="A32:C32"/>
    <mergeCell ref="A34:C34"/>
    <mergeCell ref="A26:B26"/>
    <mergeCell ref="A8:B8"/>
    <mergeCell ref="D8:E8"/>
    <mergeCell ref="H17:H18"/>
    <mergeCell ref="G9:G11"/>
    <mergeCell ref="H9:H11"/>
    <mergeCell ref="A9:A11"/>
    <mergeCell ref="B9:B11"/>
    <mergeCell ref="C9:C11"/>
    <mergeCell ref="D9:D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6">
      <selection activeCell="H48" sqref="H48"/>
    </sheetView>
  </sheetViews>
  <sheetFormatPr defaultColWidth="9.140625" defaultRowHeight="15"/>
  <cols>
    <col min="1" max="1" width="60.57421875" style="0" customWidth="1"/>
    <col min="2" max="2" width="6.57421875" style="0" hidden="1" customWidth="1"/>
    <col min="3" max="4" width="16.00390625" style="54" customWidth="1"/>
    <col min="5" max="5" width="16.7109375" style="0" customWidth="1"/>
    <col min="7" max="7" width="0" style="0" hidden="1" customWidth="1"/>
  </cols>
  <sheetData>
    <row r="1" spans="1:2" ht="15.75">
      <c r="A1" s="11" t="s">
        <v>33</v>
      </c>
      <c r="B1" s="11"/>
    </row>
    <row r="2" spans="1:2" ht="15.75">
      <c r="A2" s="11" t="s">
        <v>34</v>
      </c>
      <c r="B2" s="11"/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4" ht="18.75">
      <c r="A7" s="134" t="s">
        <v>133</v>
      </c>
      <c r="B7" s="134"/>
      <c r="C7" s="134"/>
      <c r="D7" s="134"/>
    </row>
    <row r="8" spans="1:4" ht="15">
      <c r="A8" s="135" t="s">
        <v>120</v>
      </c>
      <c r="B8" s="135"/>
      <c r="C8" s="135"/>
      <c r="D8" s="135"/>
    </row>
    <row r="9" spans="1:4" ht="15">
      <c r="A9" s="141" t="s">
        <v>65</v>
      </c>
      <c r="B9" s="141"/>
      <c r="C9" s="141"/>
      <c r="D9" s="141"/>
    </row>
    <row r="10" spans="1:2" ht="15">
      <c r="A10" s="1"/>
      <c r="B10" s="1"/>
    </row>
    <row r="11" spans="1:2" ht="15">
      <c r="A11" s="1"/>
      <c r="B11" s="1"/>
    </row>
    <row r="12" spans="1:2" ht="15">
      <c r="A12" s="7" t="s">
        <v>37</v>
      </c>
      <c r="B12" s="7"/>
    </row>
    <row r="13" spans="1:10" ht="15">
      <c r="A13" s="139"/>
      <c r="B13" s="80"/>
      <c r="C13" s="142" t="s">
        <v>125</v>
      </c>
      <c r="D13" s="142"/>
      <c r="E13" s="17"/>
      <c r="F13" s="17"/>
      <c r="G13" s="17"/>
      <c r="H13" s="17"/>
      <c r="I13" s="17"/>
      <c r="J13" s="17"/>
    </row>
    <row r="14" spans="1:10" ht="15">
      <c r="A14" s="139"/>
      <c r="B14" s="80"/>
      <c r="C14" s="142" t="s">
        <v>114</v>
      </c>
      <c r="D14" s="142"/>
      <c r="E14" s="60"/>
      <c r="F14" s="17"/>
      <c r="G14" s="17"/>
      <c r="H14" s="17"/>
      <c r="I14" s="17"/>
      <c r="J14" s="17"/>
    </row>
    <row r="15" spans="1:10" ht="15">
      <c r="A15" s="139"/>
      <c r="B15" s="80"/>
      <c r="C15" s="140" t="s">
        <v>134</v>
      </c>
      <c r="D15" s="140" t="s">
        <v>113</v>
      </c>
      <c r="E15" s="60"/>
      <c r="F15" s="17"/>
      <c r="G15" s="17"/>
      <c r="H15" s="17"/>
      <c r="I15" s="17"/>
      <c r="J15" s="17"/>
    </row>
    <row r="16" spans="1:10" ht="15">
      <c r="A16" s="139"/>
      <c r="B16" s="80"/>
      <c r="C16" s="140"/>
      <c r="D16" s="140"/>
      <c r="E16" s="60"/>
      <c r="F16" s="17"/>
      <c r="G16" s="17"/>
      <c r="H16" s="17"/>
      <c r="I16" s="17"/>
      <c r="J16" s="17"/>
    </row>
    <row r="17" spans="1:10" ht="15">
      <c r="A17" s="42"/>
      <c r="B17" s="79"/>
      <c r="C17" s="55"/>
      <c r="D17" s="55"/>
      <c r="E17" s="60"/>
      <c r="F17" s="17"/>
      <c r="G17" s="17"/>
      <c r="H17" s="17"/>
      <c r="I17" s="17"/>
      <c r="J17" s="17"/>
    </row>
    <row r="18" spans="1:10" ht="15">
      <c r="A18" s="43" t="s">
        <v>66</v>
      </c>
      <c r="B18" s="43"/>
      <c r="C18" s="52"/>
      <c r="D18" s="53"/>
      <c r="E18" s="60"/>
      <c r="F18" s="17"/>
      <c r="G18" s="17"/>
      <c r="H18" s="17"/>
      <c r="I18" s="17"/>
      <c r="J18" s="17"/>
    </row>
    <row r="19" spans="1:10" ht="15">
      <c r="A19" s="41" t="s">
        <v>67</v>
      </c>
      <c r="B19" s="77">
        <v>12</v>
      </c>
      <c r="C19" s="70">
        <f>62473+64219</f>
        <v>126692</v>
      </c>
      <c r="D19" s="70">
        <f>152880+154067</f>
        <v>306947</v>
      </c>
      <c r="F19" s="17"/>
      <c r="G19" s="60">
        <v>12</v>
      </c>
      <c r="H19" s="17"/>
      <c r="I19" s="17"/>
      <c r="J19" s="17"/>
    </row>
    <row r="20" spans="1:10" ht="15">
      <c r="A20" s="41" t="s">
        <v>68</v>
      </c>
      <c r="B20" s="77"/>
      <c r="C20" s="70"/>
      <c r="D20" s="68"/>
      <c r="F20" s="17"/>
      <c r="G20" s="60"/>
      <c r="H20" s="17"/>
      <c r="I20" s="17"/>
      <c r="J20" s="17"/>
    </row>
    <row r="21" spans="1:10" ht="15">
      <c r="A21" s="41" t="s">
        <v>69</v>
      </c>
      <c r="B21" s="77"/>
      <c r="C21" s="70"/>
      <c r="D21" s="68"/>
      <c r="F21" s="17"/>
      <c r="G21" s="60"/>
      <c r="H21" s="17"/>
      <c r="I21" s="17"/>
      <c r="J21" s="17"/>
    </row>
    <row r="22" spans="1:10" ht="15">
      <c r="A22" s="41" t="s">
        <v>70</v>
      </c>
      <c r="B22" s="77"/>
      <c r="C22" s="70"/>
      <c r="D22" s="68"/>
      <c r="F22" s="17"/>
      <c r="G22" s="60"/>
      <c r="H22" s="17"/>
      <c r="I22" s="17"/>
      <c r="J22" s="17"/>
    </row>
    <row r="23" spans="1:10" ht="15">
      <c r="A23" s="41" t="s">
        <v>71</v>
      </c>
      <c r="B23" s="77">
        <v>15</v>
      </c>
      <c r="C23" s="70">
        <f>700+4391</f>
        <v>5091</v>
      </c>
      <c r="D23" s="68">
        <f>53650+22647</f>
        <v>76297</v>
      </c>
      <c r="F23" s="17"/>
      <c r="G23" s="60">
        <v>15</v>
      </c>
      <c r="H23" s="17"/>
      <c r="I23" s="17"/>
      <c r="J23" s="17"/>
    </row>
    <row r="24" spans="1:10" ht="15">
      <c r="A24" s="43" t="s">
        <v>72</v>
      </c>
      <c r="B24" s="43"/>
      <c r="C24" s="69">
        <f>SUM(C18:C23)</f>
        <v>131783</v>
      </c>
      <c r="D24" s="69">
        <f>SUM(D18:D23)</f>
        <v>383244</v>
      </c>
      <c r="F24" s="17"/>
      <c r="G24" s="60"/>
      <c r="H24" s="17"/>
      <c r="I24" s="17"/>
      <c r="J24" s="17"/>
    </row>
    <row r="25" spans="1:10" ht="15">
      <c r="A25" s="41" t="s">
        <v>73</v>
      </c>
      <c r="B25" s="81">
        <v>27</v>
      </c>
      <c r="C25" s="70">
        <f>-45050-25000</f>
        <v>-70050</v>
      </c>
      <c r="D25" s="68">
        <f>-59670-153821</f>
        <v>-213491</v>
      </c>
      <c r="F25" s="17"/>
      <c r="G25" s="60">
        <v>27</v>
      </c>
      <c r="H25" s="17"/>
      <c r="I25" s="17"/>
      <c r="J25" s="17"/>
    </row>
    <row r="26" spans="1:10" ht="15">
      <c r="A26" s="41" t="s">
        <v>74</v>
      </c>
      <c r="B26" s="77">
        <v>23</v>
      </c>
      <c r="C26" s="70">
        <f>-9702-7583</f>
        <v>-17285</v>
      </c>
      <c r="D26" s="70">
        <f>-11131-10506</f>
        <v>-21637</v>
      </c>
      <c r="F26" s="17"/>
      <c r="G26" s="60">
        <v>23</v>
      </c>
      <c r="H26" s="17"/>
      <c r="I26" s="17"/>
      <c r="J26" s="17"/>
    </row>
    <row r="27" spans="1:10" ht="15">
      <c r="A27" s="41" t="s">
        <v>75</v>
      </c>
      <c r="B27" s="82">
        <v>21</v>
      </c>
      <c r="C27" s="71">
        <f>-3551-5436</f>
        <v>-8987</v>
      </c>
      <c r="D27" s="68">
        <f>-6464+520-5736</f>
        <v>-11680</v>
      </c>
      <c r="E27" s="51"/>
      <c r="F27" s="17"/>
      <c r="G27" s="60">
        <v>21</v>
      </c>
      <c r="H27" s="45"/>
      <c r="I27" s="17"/>
      <c r="J27" s="17"/>
    </row>
    <row r="28" spans="1:10" ht="15">
      <c r="A28" s="41" t="s">
        <v>76</v>
      </c>
      <c r="B28" s="77">
        <v>26</v>
      </c>
      <c r="C28" s="70">
        <f>-3007-3327</f>
        <v>-6334</v>
      </c>
      <c r="D28" s="68">
        <f>-4322-4118</f>
        <v>-8440</v>
      </c>
      <c r="F28" s="17"/>
      <c r="G28" s="60">
        <v>26</v>
      </c>
      <c r="H28" s="17"/>
      <c r="I28" s="17"/>
      <c r="J28" s="17"/>
    </row>
    <row r="29" spans="1:10" ht="15">
      <c r="A29" s="41" t="s">
        <v>77</v>
      </c>
      <c r="B29" s="77">
        <v>22</v>
      </c>
      <c r="C29" s="70"/>
      <c r="D29" s="68">
        <v>-266</v>
      </c>
      <c r="F29" s="17"/>
      <c r="G29" s="60">
        <v>22</v>
      </c>
      <c r="H29" s="17"/>
      <c r="I29" s="17"/>
      <c r="J29" s="17"/>
    </row>
    <row r="30" spans="1:10" ht="15">
      <c r="A30" s="41" t="s">
        <v>78</v>
      </c>
      <c r="B30" s="81">
        <v>27</v>
      </c>
      <c r="C30" s="70">
        <f>-200-4067</f>
        <v>-4267</v>
      </c>
      <c r="D30" s="70">
        <f>-112807+59670-21466-1</f>
        <v>-74604</v>
      </c>
      <c r="F30" s="17"/>
      <c r="G30" s="60">
        <v>27</v>
      </c>
      <c r="H30" s="17"/>
      <c r="I30" s="17"/>
      <c r="J30" s="17"/>
    </row>
    <row r="31" spans="1:10" ht="15">
      <c r="A31" s="43" t="s">
        <v>79</v>
      </c>
      <c r="B31" s="43"/>
      <c r="C31" s="72">
        <f>SUM(C25:C30)</f>
        <v>-106923</v>
      </c>
      <c r="D31" s="69">
        <f>SUM(D25:D30)</f>
        <v>-330118</v>
      </c>
      <c r="F31" s="17"/>
      <c r="G31" s="60"/>
      <c r="H31" s="17"/>
      <c r="I31" s="17"/>
      <c r="J31" s="17"/>
    </row>
    <row r="32" spans="1:10" ht="15">
      <c r="A32" s="43" t="s">
        <v>80</v>
      </c>
      <c r="B32" s="43"/>
      <c r="C32" s="72">
        <f>C24+C31</f>
        <v>24860</v>
      </c>
      <c r="D32" s="72">
        <f>D24+D31</f>
        <v>53126</v>
      </c>
      <c r="F32" s="17"/>
      <c r="G32" s="60"/>
      <c r="H32" s="17"/>
      <c r="I32" s="17"/>
      <c r="J32" s="17"/>
    </row>
    <row r="33" spans="1:10" ht="15">
      <c r="A33" s="42"/>
      <c r="B33" s="79"/>
      <c r="C33" s="73"/>
      <c r="D33" s="73"/>
      <c r="F33" s="17"/>
      <c r="G33" s="60"/>
      <c r="H33" s="17"/>
      <c r="I33" s="17"/>
      <c r="J33" s="17"/>
    </row>
    <row r="34" spans="1:10" ht="15">
      <c r="A34" s="43" t="s">
        <v>59</v>
      </c>
      <c r="B34" s="43"/>
      <c r="C34" s="73"/>
      <c r="D34" s="74"/>
      <c r="F34" s="17"/>
      <c r="G34" s="60"/>
      <c r="H34" s="17"/>
      <c r="I34" s="17"/>
      <c r="J34" s="17"/>
    </row>
    <row r="35" spans="1:10" ht="25.5">
      <c r="A35" s="41" t="s">
        <v>60</v>
      </c>
      <c r="B35" s="77">
        <v>14</v>
      </c>
      <c r="C35" s="70">
        <v>2725</v>
      </c>
      <c r="D35" s="75"/>
      <c r="F35" s="17"/>
      <c r="G35" s="60">
        <v>14</v>
      </c>
      <c r="H35" s="17"/>
      <c r="I35" s="17"/>
      <c r="J35" s="17"/>
    </row>
    <row r="36" spans="1:10" ht="25.5">
      <c r="A36" s="41" t="s">
        <v>81</v>
      </c>
      <c r="B36" s="77">
        <v>43</v>
      </c>
      <c r="C36" s="75">
        <f>12169+11761</f>
        <v>23930</v>
      </c>
      <c r="D36" s="75">
        <f>1850+11246</f>
        <v>13096</v>
      </c>
      <c r="F36" s="17"/>
      <c r="G36" s="60">
        <v>43</v>
      </c>
      <c r="H36" s="17"/>
      <c r="I36" s="17"/>
      <c r="J36" s="17"/>
    </row>
    <row r="37" spans="1:10" ht="15">
      <c r="A37" s="44" t="s">
        <v>71</v>
      </c>
      <c r="B37" s="77"/>
      <c r="C37" s="67"/>
      <c r="D37" s="67"/>
      <c r="F37" s="17"/>
      <c r="G37" s="60"/>
      <c r="H37" s="17"/>
      <c r="I37" s="17"/>
      <c r="J37" s="17"/>
    </row>
    <row r="38" spans="1:10" ht="15">
      <c r="A38" s="43" t="s">
        <v>82</v>
      </c>
      <c r="B38" s="43"/>
      <c r="C38" s="72">
        <f>SUM(C35:C37)</f>
        <v>26655</v>
      </c>
      <c r="D38" s="72">
        <f>SUM(D35:D36)</f>
        <v>13096</v>
      </c>
      <c r="F38" s="17"/>
      <c r="G38" s="60"/>
      <c r="H38" s="17"/>
      <c r="I38" s="17"/>
      <c r="J38" s="17"/>
    </row>
    <row r="39" spans="1:10" ht="15">
      <c r="A39" s="42"/>
      <c r="B39" s="79"/>
      <c r="C39" s="74"/>
      <c r="D39" s="74"/>
      <c r="F39" s="17"/>
      <c r="G39" s="60"/>
      <c r="H39" s="17"/>
      <c r="I39" s="17"/>
      <c r="J39" s="17"/>
    </row>
    <row r="40" spans="1:10" ht="25.5">
      <c r="A40" s="41" t="s">
        <v>83</v>
      </c>
      <c r="B40" s="77">
        <v>54</v>
      </c>
      <c r="C40" s="70">
        <f>-9985-83360</f>
        <v>-93345</v>
      </c>
      <c r="D40" s="70">
        <f>0-3104</f>
        <v>-3104</v>
      </c>
      <c r="F40" s="17"/>
      <c r="G40" s="60"/>
      <c r="H40" s="17"/>
      <c r="I40" s="17"/>
      <c r="J40" s="17"/>
    </row>
    <row r="41" spans="1:10" ht="15">
      <c r="A41" s="41" t="s">
        <v>84</v>
      </c>
      <c r="B41" s="82">
        <v>21</v>
      </c>
      <c r="C41" s="70">
        <f>0-75</f>
        <v>-75</v>
      </c>
      <c r="D41" s="70">
        <f>-520-2946</f>
        <v>-3466</v>
      </c>
      <c r="F41" s="17"/>
      <c r="G41" s="60" t="s">
        <v>107</v>
      </c>
      <c r="H41" s="17"/>
      <c r="I41" s="17"/>
      <c r="J41" s="17"/>
    </row>
    <row r="42" spans="1:10" ht="15">
      <c r="A42" s="44" t="s">
        <v>78</v>
      </c>
      <c r="B42" s="77"/>
      <c r="C42" s="70">
        <v>-36</v>
      </c>
      <c r="D42" s="70">
        <f>-27648-48</f>
        <v>-27696</v>
      </c>
      <c r="F42" s="17"/>
      <c r="G42" s="60"/>
      <c r="H42" s="17"/>
      <c r="I42" s="17"/>
      <c r="J42" s="17"/>
    </row>
    <row r="43" spans="1:10" ht="15">
      <c r="A43" s="43" t="s">
        <v>85</v>
      </c>
      <c r="B43" s="43"/>
      <c r="C43" s="72">
        <f>SUM(C40:C42)</f>
        <v>-93456</v>
      </c>
      <c r="D43" s="72">
        <f>SUM(D40:D42)</f>
        <v>-34266</v>
      </c>
      <c r="F43" s="17"/>
      <c r="G43" s="60"/>
      <c r="H43" s="17"/>
      <c r="I43" s="17"/>
      <c r="J43" s="17"/>
    </row>
    <row r="44" spans="1:10" ht="25.5">
      <c r="A44" s="43" t="s">
        <v>61</v>
      </c>
      <c r="B44" s="43"/>
      <c r="C44" s="72">
        <f>C38+C43</f>
        <v>-66801</v>
      </c>
      <c r="D44" s="72">
        <f>D38+D43</f>
        <v>-21170</v>
      </c>
      <c r="F44" s="17"/>
      <c r="G44" s="60"/>
      <c r="H44" s="17"/>
      <c r="I44" s="17"/>
      <c r="J44" s="17"/>
    </row>
    <row r="45" spans="1:10" ht="15">
      <c r="A45" s="42"/>
      <c r="B45" s="79"/>
      <c r="C45" s="74"/>
      <c r="D45" s="73"/>
      <c r="F45" s="17"/>
      <c r="G45" s="60"/>
      <c r="H45" s="17"/>
      <c r="I45" s="17"/>
      <c r="J45" s="17"/>
    </row>
    <row r="46" spans="1:10" ht="15">
      <c r="A46" s="43" t="s">
        <v>86</v>
      </c>
      <c r="B46" s="43"/>
      <c r="C46" s="74"/>
      <c r="D46" s="74"/>
      <c r="F46" s="17"/>
      <c r="G46" s="60"/>
      <c r="H46" s="17"/>
      <c r="I46" s="17"/>
      <c r="J46" s="17"/>
    </row>
    <row r="47" spans="1:10" ht="15">
      <c r="A47" s="41" t="s">
        <v>62</v>
      </c>
      <c r="B47" s="77"/>
      <c r="C47" s="74"/>
      <c r="D47" s="70"/>
      <c r="F47" s="17"/>
      <c r="G47" s="60" t="s">
        <v>108</v>
      </c>
      <c r="H47" s="17"/>
      <c r="I47" s="17"/>
      <c r="J47" s="17"/>
    </row>
    <row r="48" spans="1:10" ht="15">
      <c r="A48" s="41" t="s">
        <v>87</v>
      </c>
      <c r="B48" s="77">
        <v>47</v>
      </c>
      <c r="C48" s="70">
        <f>180715+117574</f>
        <v>298289</v>
      </c>
      <c r="D48" s="70">
        <f>172455+180161</f>
        <v>352616</v>
      </c>
      <c r="F48" s="17"/>
      <c r="G48" s="60">
        <v>47</v>
      </c>
      <c r="H48" s="17"/>
      <c r="I48" s="17"/>
      <c r="J48" s="17"/>
    </row>
    <row r="49" spans="1:10" ht="15">
      <c r="A49" s="41" t="s">
        <v>88</v>
      </c>
      <c r="B49" s="77">
        <v>44</v>
      </c>
      <c r="C49" s="70">
        <v>4684</v>
      </c>
      <c r="D49" s="68"/>
      <c r="F49" s="17"/>
      <c r="G49" s="60"/>
      <c r="H49" s="17"/>
      <c r="I49" s="17"/>
      <c r="J49" s="17"/>
    </row>
    <row r="50" spans="1:10" ht="15">
      <c r="A50" s="41" t="s">
        <v>89</v>
      </c>
      <c r="B50" s="77">
        <v>74</v>
      </c>
      <c r="C50" s="70">
        <f>31229+8598</f>
        <v>39827</v>
      </c>
      <c r="D50" s="68">
        <f>172+172</f>
        <v>344</v>
      </c>
      <c r="F50" s="17"/>
      <c r="G50" s="60" t="s">
        <v>109</v>
      </c>
      <c r="H50" s="17"/>
      <c r="I50" s="17"/>
      <c r="J50" s="17"/>
    </row>
    <row r="51" spans="1:10" ht="15">
      <c r="A51" s="43" t="s">
        <v>90</v>
      </c>
      <c r="B51" s="43"/>
      <c r="C51" s="72">
        <f>SUM(C47:C50)</f>
        <v>342800</v>
      </c>
      <c r="D51" s="72">
        <f>SUM(D47:D50)</f>
        <v>352960</v>
      </c>
      <c r="F51" s="17"/>
      <c r="G51" s="60"/>
      <c r="H51" s="17"/>
      <c r="I51" s="17"/>
      <c r="J51" s="17"/>
    </row>
    <row r="52" spans="1:10" ht="15">
      <c r="A52" s="41" t="s">
        <v>91</v>
      </c>
      <c r="B52" s="77">
        <v>57</v>
      </c>
      <c r="C52" s="70">
        <f>-169279-86879</f>
        <v>-256158</v>
      </c>
      <c r="D52" s="68">
        <f>-232720-140238</f>
        <v>-372958</v>
      </c>
      <c r="F52" s="17"/>
      <c r="G52" s="60">
        <v>57</v>
      </c>
      <c r="H52" s="17"/>
      <c r="I52" s="17"/>
      <c r="J52" s="17"/>
    </row>
    <row r="53" spans="1:10" ht="15">
      <c r="A53" s="41" t="s">
        <v>92</v>
      </c>
      <c r="B53" s="77"/>
      <c r="C53" s="68"/>
      <c r="D53" s="68" t="s">
        <v>26</v>
      </c>
      <c r="F53" s="17"/>
      <c r="G53" s="60"/>
      <c r="H53" s="17"/>
      <c r="I53" s="17"/>
      <c r="J53" s="17"/>
    </row>
    <row r="54" spans="1:10" ht="15">
      <c r="A54" s="41" t="s">
        <v>93</v>
      </c>
      <c r="B54" s="77">
        <v>84</v>
      </c>
      <c r="C54" s="68">
        <v>-147</v>
      </c>
      <c r="D54" s="68">
        <v>-9276</v>
      </c>
      <c r="F54" s="17"/>
      <c r="G54" s="60" t="s">
        <v>110</v>
      </c>
      <c r="H54" s="17"/>
      <c r="I54" s="17"/>
      <c r="J54" s="17"/>
    </row>
    <row r="55" spans="1:10" ht="15">
      <c r="A55" s="43" t="s">
        <v>94</v>
      </c>
      <c r="B55" s="43"/>
      <c r="C55" s="72">
        <f>SUM(C52:C54)</f>
        <v>-256305</v>
      </c>
      <c r="D55" s="72">
        <f>SUM(D52:D54)</f>
        <v>-382234</v>
      </c>
      <c r="F55" s="17"/>
      <c r="G55" s="60"/>
      <c r="H55" s="17"/>
      <c r="I55" s="17"/>
      <c r="J55" s="17"/>
    </row>
    <row r="56" spans="1:10" ht="23.25" customHeight="1">
      <c r="A56" s="43" t="s">
        <v>95</v>
      </c>
      <c r="B56" s="43"/>
      <c r="C56" s="76">
        <f>C51+C55</f>
        <v>86495</v>
      </c>
      <c r="D56" s="76">
        <f>D51+D55</f>
        <v>-29274</v>
      </c>
      <c r="F56" s="17"/>
      <c r="G56" s="60"/>
      <c r="H56" s="17"/>
      <c r="I56" s="17"/>
      <c r="J56" s="17"/>
    </row>
    <row r="57" spans="1:10" ht="15">
      <c r="A57" s="42"/>
      <c r="B57" s="79"/>
      <c r="C57" s="73"/>
      <c r="D57" s="73"/>
      <c r="F57" s="17"/>
      <c r="G57" s="60"/>
      <c r="H57" s="17"/>
      <c r="I57" s="17"/>
      <c r="J57" s="17"/>
    </row>
    <row r="58" spans="1:10" ht="15">
      <c r="A58" s="43" t="s">
        <v>96</v>
      </c>
      <c r="B58" s="43"/>
      <c r="C58" s="72">
        <f>C32+C44+C56</f>
        <v>44554</v>
      </c>
      <c r="D58" s="72">
        <f>D32+D44+D56</f>
        <v>2682</v>
      </c>
      <c r="F58" s="17"/>
      <c r="G58" s="60"/>
      <c r="H58" s="17"/>
      <c r="I58" s="17"/>
      <c r="J58" s="17"/>
    </row>
    <row r="59" spans="1:10" ht="15">
      <c r="A59" s="41" t="s">
        <v>123</v>
      </c>
      <c r="B59" s="77"/>
      <c r="C59" s="70">
        <v>15051</v>
      </c>
      <c r="D59" s="70">
        <v>13876</v>
      </c>
      <c r="F59" s="17"/>
      <c r="G59" s="60"/>
      <c r="H59" s="17"/>
      <c r="I59" s="17"/>
      <c r="J59" s="17"/>
    </row>
    <row r="60" spans="1:10" ht="15">
      <c r="A60" s="41" t="s">
        <v>124</v>
      </c>
      <c r="B60" s="77"/>
      <c r="C60" s="72">
        <f>C59+C58</f>
        <v>59605</v>
      </c>
      <c r="D60" s="72">
        <f>D59+D58</f>
        <v>16558</v>
      </c>
      <c r="F60" s="17"/>
      <c r="G60" s="60"/>
      <c r="H60" s="17"/>
      <c r="I60" s="17"/>
      <c r="J60" s="17"/>
    </row>
    <row r="61" spans="1:10" ht="15">
      <c r="A61" s="4"/>
      <c r="B61" s="77"/>
      <c r="C61" s="56"/>
      <c r="D61" s="56"/>
      <c r="E61" s="60"/>
      <c r="F61" s="17"/>
      <c r="G61" s="17"/>
      <c r="H61" s="17"/>
      <c r="I61" s="17"/>
      <c r="J61" s="17"/>
    </row>
    <row r="62" spans="1:10" ht="15">
      <c r="A62" s="22"/>
      <c r="B62" s="22"/>
      <c r="C62" s="56"/>
      <c r="D62" s="56"/>
      <c r="E62" s="17"/>
      <c r="F62" s="17"/>
      <c r="G62" s="17"/>
      <c r="H62" s="17"/>
      <c r="I62" s="17"/>
      <c r="J62" s="17"/>
    </row>
    <row r="63" spans="1:8" ht="15.75" thickBot="1">
      <c r="A63" s="4" t="s">
        <v>30</v>
      </c>
      <c r="B63" s="77"/>
      <c r="C63" s="57" t="s">
        <v>126</v>
      </c>
      <c r="D63" s="58"/>
      <c r="E63" s="8"/>
      <c r="G63" s="19"/>
      <c r="H63" s="19"/>
    </row>
    <row r="64" spans="1:8" ht="22.5">
      <c r="A64" s="19"/>
      <c r="B64" s="19"/>
      <c r="C64" s="59" t="s">
        <v>31</v>
      </c>
      <c r="D64" s="58"/>
      <c r="E64" s="9" t="s">
        <v>35</v>
      </c>
      <c r="G64" s="19"/>
      <c r="H64" s="19"/>
    </row>
    <row r="65" spans="1:8" ht="15.75" thickBot="1">
      <c r="A65" s="4" t="s">
        <v>32</v>
      </c>
      <c r="B65" s="77"/>
      <c r="C65" s="20" t="s">
        <v>112</v>
      </c>
      <c r="D65" s="58"/>
      <c r="E65" s="8"/>
      <c r="G65" s="4"/>
      <c r="H65" s="4"/>
    </row>
    <row r="66" spans="1:8" ht="22.5">
      <c r="A66" s="19"/>
      <c r="B66" s="19"/>
      <c r="C66" s="59" t="s">
        <v>31</v>
      </c>
      <c r="D66" s="58"/>
      <c r="E66" s="9" t="s">
        <v>35</v>
      </c>
      <c r="G66" s="19"/>
      <c r="H66" s="19"/>
    </row>
    <row r="67" spans="1:10" ht="15">
      <c r="A67" s="17"/>
      <c r="B67" s="17"/>
      <c r="C67" s="56"/>
      <c r="D67" s="56"/>
      <c r="E67" s="17"/>
      <c r="F67" s="17"/>
      <c r="G67" s="17"/>
      <c r="H67" s="17"/>
      <c r="I67" s="17"/>
      <c r="J67" s="17"/>
    </row>
    <row r="68" spans="1:10" ht="15">
      <c r="A68" s="17"/>
      <c r="B68" s="17"/>
      <c r="C68" s="56"/>
      <c r="D68" s="56"/>
      <c r="E68" s="17"/>
      <c r="F68" s="17"/>
      <c r="G68" s="17"/>
      <c r="H68" s="17"/>
      <c r="I68" s="17"/>
      <c r="J68" s="17"/>
    </row>
    <row r="69" spans="1:2" ht="15">
      <c r="A69" s="10" t="s">
        <v>131</v>
      </c>
      <c r="B69" s="10"/>
    </row>
    <row r="70" spans="1:10" ht="15">
      <c r="A70" s="17"/>
      <c r="B70" s="17"/>
      <c r="C70" s="56"/>
      <c r="D70" s="56"/>
      <c r="E70" s="17"/>
      <c r="F70" s="17"/>
      <c r="G70" s="17"/>
      <c r="H70" s="17"/>
      <c r="I70" s="17"/>
      <c r="J70" s="17"/>
    </row>
  </sheetData>
  <sheetProtection/>
  <mergeCells count="9">
    <mergeCell ref="A15:A16"/>
    <mergeCell ref="C15:C16"/>
    <mergeCell ref="D15:D16"/>
    <mergeCell ref="A7:D7"/>
    <mergeCell ref="A8:D8"/>
    <mergeCell ref="A9:D9"/>
    <mergeCell ref="A13:A14"/>
    <mergeCell ref="C13:D13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2023-08-08T11:55:43Z</dcterms:modified>
  <cp:category/>
  <cp:version/>
  <cp:contentType/>
  <cp:contentStatus/>
</cp:coreProperties>
</file>