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0380" windowHeight="7830" activeTab="1"/>
  </bookViews>
  <sheets>
    <sheet name="Ф1" sheetId="1" r:id="rId1"/>
    <sheet name="Ф2" sheetId="2" r:id="rId2"/>
    <sheet name="Ф3" sheetId="3" r:id="rId3"/>
    <sheet name="Ф4" sheetId="4" r:id="rId4"/>
  </sheets>
  <definedNames/>
  <calcPr fullCalcOnLoad="1"/>
</workbook>
</file>

<file path=xl/sharedStrings.xml><?xml version="1.0" encoding="utf-8"?>
<sst xmlns="http://schemas.openxmlformats.org/spreadsheetml/2006/main" count="198" uniqueCount="132">
  <si>
    <t>Промежуточный сокращенныйотчет о финансовом положении</t>
  </si>
  <si>
    <t>(тыс.тенге)</t>
  </si>
  <si>
    <t>Примечания</t>
  </si>
  <si>
    <t>2021 года</t>
  </si>
  <si>
    <t xml:space="preserve">31 декабря </t>
  </si>
  <si>
    <t>(неаудировано)</t>
  </si>
  <si>
    <t xml:space="preserve">      (аудировано)</t>
  </si>
  <si>
    <t>АКТИВЫ</t>
  </si>
  <si>
    <t>Денежные средства</t>
  </si>
  <si>
    <t>Финансовые активы, оцениваемые по справедливой стоимости через прочий совокупный доход</t>
  </si>
  <si>
    <t>Прочие текущие активы</t>
  </si>
  <si>
    <t>Инвестиционная недвижимость</t>
  </si>
  <si>
    <t xml:space="preserve">Основные средства </t>
  </si>
  <si>
    <t>Нематериальные активы</t>
  </si>
  <si>
    <t>Отложенные налоговые активы</t>
  </si>
  <si>
    <t>Итого активы</t>
  </si>
  <si>
    <t>ОБЯЗАТЕЛЬСТВА</t>
  </si>
  <si>
    <t>Обязательства по операциям "РЕПО"</t>
  </si>
  <si>
    <t>Краткосрочная кредиторская задолженность</t>
  </si>
  <si>
    <t>Долгосрочные финансовые обязательства</t>
  </si>
  <si>
    <t>Оценочные обязательства</t>
  </si>
  <si>
    <t>Прочие текущие обязательства</t>
  </si>
  <si>
    <t>Итого обязательства</t>
  </si>
  <si>
    <t>КАПИТАЛ</t>
  </si>
  <si>
    <t>Уставный капитал</t>
  </si>
  <si>
    <t>Дополнительно оплаченный капитал</t>
  </si>
  <si>
    <t>Резерв переоценки финансовых активов, оцениваемых по справедливой стоимости через прочий совокупный доход</t>
  </si>
  <si>
    <t>Оценочный резерв под ожидаемые кредитные убытки по финансовым активам, оцениваемым по справедливой стоимости через прочий совокупный доход</t>
  </si>
  <si>
    <t>-</t>
  </si>
  <si>
    <t xml:space="preserve">Нераспределенная прибыль </t>
  </si>
  <si>
    <t>Итого капитал</t>
  </si>
  <si>
    <t>Всего капитал и обязательства</t>
  </si>
  <si>
    <t>Председатель Правления</t>
  </si>
  <si>
    <t>Пазылова Г. О.</t>
  </si>
  <si>
    <t>(фамилия, имя, отчество)</t>
  </si>
  <si>
    <t>Главный бухгалтер</t>
  </si>
  <si>
    <t xml:space="preserve">Товарищество с ограниченной ответственностью </t>
  </si>
  <si>
    <t>"Микрофинансовая организация "НИЕТ Кредит"</t>
  </si>
  <si>
    <t>(подпись)</t>
  </si>
  <si>
    <t>М П</t>
  </si>
  <si>
    <t>Промежуточный сокращенныйотчет о совокупном доходе</t>
  </si>
  <si>
    <t>(в тыс. тенге)</t>
  </si>
  <si>
    <t>Прибыль/(убыток) от купли-продажи ценных бумаг</t>
  </si>
  <si>
    <t>Прочие доходы</t>
  </si>
  <si>
    <t>Административные расходы</t>
  </si>
  <si>
    <t>Прибыль (убыток) до налогообложения</t>
  </si>
  <si>
    <t>Расходы по подоходному налогу</t>
  </si>
  <si>
    <t xml:space="preserve">Прибыль (убыток) после налогообложения </t>
  </si>
  <si>
    <t>Прочий совокупный доход</t>
  </si>
  <si>
    <t>Прочий совокупный доход, подлежащий реклассификации в составе прибыли или убытка в последующих периодах:</t>
  </si>
  <si>
    <t>Доходы/(расходы) по переоценке долговых финансовых активов, оцениваемых по справедливой стоимости через прочий совокупный доход</t>
  </si>
  <si>
    <t>Оценочный резервы под ожидаемые кредитные убытки по финансовым активам, оцениваемым по справедливой стоимости через прочий совокупный доход</t>
  </si>
  <si>
    <t>Чистый прочий совокупный доход/(убыток), подлежащий реклассификации в состав прибыли или убытка в последующих периодах</t>
  </si>
  <si>
    <t>Прочий совокупный доход, не подлежащий реклассификации в составе прибыли или убытка в последующих периодах:</t>
  </si>
  <si>
    <t>Доходы/(расходы) по переоценке долевых финансовых активов, оцениваемых по справедливой стоимости через прочий совокупный доход</t>
  </si>
  <si>
    <t>Чистый прочий совокупный доход/(убыток), не подлежащий реклассификации в состав прибыли или убытка в последующих периодах</t>
  </si>
  <si>
    <t>Прочий совокупный доход/(убыток) за год</t>
  </si>
  <si>
    <t>Итого совокупная прибыль/(убыток) за год</t>
  </si>
  <si>
    <t>Промежуточный сокращенныйотчет об изменениях в капитале</t>
  </si>
  <si>
    <t>Доплнительно оплаченный капитал</t>
  </si>
  <si>
    <t>Чистая прибыль за отчетный период</t>
  </si>
  <si>
    <t>Итого доход</t>
  </si>
  <si>
    <t>Нераспределенная прибыль/убыток</t>
  </si>
  <si>
    <t>тыс. тенге</t>
  </si>
  <si>
    <t>Промежуточный сокращенныйотчет о движении денежных средств</t>
  </si>
  <si>
    <t>Движение денежных средств от инвестиционной деятельности</t>
  </si>
  <si>
    <t>Получение дивидендов по финансовым активам, оцениваемым по справедливой стоимости через прочий совокупный доход</t>
  </si>
  <si>
    <t xml:space="preserve">Чистый приток/ (отток) денежных средств от инвестиционной деятельности </t>
  </si>
  <si>
    <t>Взнос уставного и дополнительного капитала</t>
  </si>
  <si>
    <t>На 1 января 2021 года</t>
  </si>
  <si>
    <r>
      <t>(прямой</t>
    </r>
    <r>
      <rPr>
        <b/>
        <sz val="11"/>
        <color indexed="8"/>
        <rFont val="Times New Roman"/>
        <family val="1"/>
      </rPr>
      <t xml:space="preserve"> метод)</t>
    </r>
  </si>
  <si>
    <t>2022год</t>
  </si>
  <si>
    <t>2021 год</t>
  </si>
  <si>
    <t>2022 года</t>
  </si>
  <si>
    <t>Выданные микрокредиты</t>
  </si>
  <si>
    <t>Краткосрочные финансовые обязательства</t>
  </si>
  <si>
    <t>Обязательства по аренде</t>
  </si>
  <si>
    <t>Отложенное налоговое обязательство</t>
  </si>
  <si>
    <t>2022 год (неаудировано)</t>
  </si>
  <si>
    <t>Процентные доходы</t>
  </si>
  <si>
    <t>Процентные расходы</t>
  </si>
  <si>
    <t>Прочие финансовые доходы/расходы</t>
  </si>
  <si>
    <t>Операционые расходы</t>
  </si>
  <si>
    <t>Прочие расходы</t>
  </si>
  <si>
    <t>Расходы по формированию резервов (провизий) по предоставленным займам</t>
  </si>
  <si>
    <t>На 1 января 2022 года</t>
  </si>
  <si>
    <t>Движение денежных средств от операционной деятельности</t>
  </si>
  <si>
    <t>Погашение микрокредитов клиентами</t>
  </si>
  <si>
    <t>Проценты полученные</t>
  </si>
  <si>
    <t>Пени и штрафы полученные</t>
  </si>
  <si>
    <t>Авансы полученные</t>
  </si>
  <si>
    <t>Прочие поступления</t>
  </si>
  <si>
    <t>Приток денежных средств от операционной деятельности</t>
  </si>
  <si>
    <t>Выдача микрокредитов</t>
  </si>
  <si>
    <t>Выплаты по заработной плате</t>
  </si>
  <si>
    <t>Платежи поставщикам за товары и услуги</t>
  </si>
  <si>
    <t>Платежи в бюджет</t>
  </si>
  <si>
    <t>Авансы выданные</t>
  </si>
  <si>
    <t>Прочие выплаты</t>
  </si>
  <si>
    <t>Отток денежных средств от операционной деятельности</t>
  </si>
  <si>
    <t xml:space="preserve">Приток/ (отток) денежных средств от операционной деятельности </t>
  </si>
  <si>
    <t>Реализация финансовых активов, оцениваемых по справедливой стоимости через прочий совокупный доход</t>
  </si>
  <si>
    <t>Приток денежных средств от инвестиционной деятельности</t>
  </si>
  <si>
    <t>Приобретение финансовых активов, оцениваемых по справедливой стоимости через прочий совокупный доход</t>
  </si>
  <si>
    <t>Приобретение основных средств и нематериальных активов</t>
  </si>
  <si>
    <t>Отток денежных средств от инвестиционной деятельности</t>
  </si>
  <si>
    <t>Движение денежных средств от финансовой деятельности</t>
  </si>
  <si>
    <t>Размещение ценных бумаг в операции «РЕПО»</t>
  </si>
  <si>
    <t>Облигации выпущенные</t>
  </si>
  <si>
    <t>Прочие финансовые поступления</t>
  </si>
  <si>
    <t>Приток денежных средств от финансовой деятельности</t>
  </si>
  <si>
    <t>Погашение операций «РЕПО»</t>
  </si>
  <si>
    <t>Выплата вознаграждения по облигациям выпущенным</t>
  </si>
  <si>
    <t>Прочий финансовый отток</t>
  </si>
  <si>
    <t>Отток денежных средств от финансовой деятельности</t>
  </si>
  <si>
    <t xml:space="preserve">Чистый приток/ (отток) денежных средств от финансовой деятельности </t>
  </si>
  <si>
    <t>Чистое увеличение / (уменьшение) денежных средств</t>
  </si>
  <si>
    <t>Денежные средства на начало года</t>
  </si>
  <si>
    <t>Денежные средства на конец года</t>
  </si>
  <si>
    <t>по состоянию на 30 сентября 2022 г</t>
  </si>
  <si>
    <t>30 сентября</t>
  </si>
  <si>
    <t>Сауханбаева Ж.Б.</t>
  </si>
  <si>
    <t>Дата утверждения ФО к выпуску 15 октября  2022 г</t>
  </si>
  <si>
    <t>за 6 месяцев, закончившихся 30 сентября 2022 года</t>
  </si>
  <si>
    <t xml:space="preserve"> закончившихся 30 сентября</t>
  </si>
  <si>
    <t>Дата утверждения ФО к выпуску 15 октября 2022 г</t>
  </si>
  <si>
    <t xml:space="preserve">На 30сентября 2021 года </t>
  </si>
  <si>
    <t>На 30 сентября 2022 года (неаудировано)</t>
  </si>
  <si>
    <t>за 9 месяцев,</t>
  </si>
  <si>
    <t>за 9 месяцев, закончившихся 30 сентября 2022 года</t>
  </si>
  <si>
    <t>за 9 месяцев, закончившихся</t>
  </si>
  <si>
    <t>259 681 623,89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</si>
</sst>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\ _₸_-;\-* #,##0\ _₸_-;_-* &quot;-&quot;??\ _₸_-;_-@_-"/>
    <numFmt numFmtId="175" formatCode="_-* #,##0.0\ _₸_-;\-* #,##0.0\ _₸_-;_-* &quot;-&quot;??\ _₸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8"/>
      <color theme="1"/>
      <name val="Times New Roman"/>
      <family val="1"/>
    </font>
    <font>
      <u val="single"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right" vertical="center" wrapText="1"/>
    </xf>
    <xf numFmtId="0" fontId="50" fillId="0" borderId="0" xfId="0" applyFont="1" applyAlignment="1">
      <alignment horizontal="right" vertical="center"/>
    </xf>
    <xf numFmtId="3" fontId="49" fillId="0" borderId="0" xfId="0" applyNumberFormat="1" applyFont="1" applyAlignment="1">
      <alignment horizontal="right" vertical="center" wrapText="1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0" fontId="0" fillId="0" borderId="0" xfId="0" applyFont="1" applyAlignment="1">
      <alignment/>
    </xf>
    <xf numFmtId="0" fontId="56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/>
    </xf>
    <xf numFmtId="3" fontId="59" fillId="0" borderId="0" xfId="0" applyNumberFormat="1" applyFont="1" applyAlignment="1">
      <alignment horizontal="right" vertical="center" wrapText="1"/>
    </xf>
    <xf numFmtId="3" fontId="60" fillId="0" borderId="0" xfId="0" applyNumberFormat="1" applyFont="1" applyAlignment="1">
      <alignment horizontal="right" vertical="center" wrapText="1"/>
    </xf>
    <xf numFmtId="0" fontId="59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3" fontId="49" fillId="0" borderId="0" xfId="0" applyNumberFormat="1" applyFont="1" applyAlignment="1">
      <alignment horizontal="center" vertical="center" wrapText="1"/>
    </xf>
    <xf numFmtId="3" fontId="49" fillId="0" borderId="0" xfId="0" applyNumberFormat="1" applyFont="1" applyAlignment="1">
      <alignment vertical="center" wrapText="1"/>
    </xf>
    <xf numFmtId="0" fontId="61" fillId="0" borderId="0" xfId="0" applyFont="1" applyAlignment="1">
      <alignment vertical="center" wrapText="1"/>
    </xf>
    <xf numFmtId="0" fontId="6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6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9" fillId="0" borderId="0" xfId="0" applyFont="1" applyAlignment="1">
      <alignment horizontal="right" vertical="center" wrapText="1"/>
    </xf>
    <xf numFmtId="0" fontId="51" fillId="0" borderId="0" xfId="0" applyFont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49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3" fontId="59" fillId="33" borderId="0" xfId="0" applyNumberFormat="1" applyFont="1" applyFill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3" fontId="49" fillId="0" borderId="0" xfId="0" applyNumberFormat="1" applyFont="1" applyAlignment="1">
      <alignment horizontal="center" vertical="center" wrapText="1"/>
    </xf>
    <xf numFmtId="3" fontId="49" fillId="33" borderId="0" xfId="0" applyNumberFormat="1" applyFont="1" applyFill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right" vertical="center" wrapText="1"/>
    </xf>
    <xf numFmtId="0" fontId="48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9" fillId="0" borderId="0" xfId="0" applyFont="1" applyFill="1" applyAlignment="1">
      <alignment horizontal="right" vertical="center" wrapText="1"/>
    </xf>
    <xf numFmtId="174" fontId="48" fillId="0" borderId="0" xfId="58" applyNumberFormat="1" applyFont="1" applyAlignment="1">
      <alignment vertical="center"/>
    </xf>
    <xf numFmtId="174" fontId="50" fillId="0" borderId="0" xfId="58" applyNumberFormat="1" applyFont="1" applyAlignment="1">
      <alignment vertical="center"/>
    </xf>
    <xf numFmtId="174" fontId="63" fillId="0" borderId="0" xfId="58" applyNumberFormat="1" applyFont="1" applyAlignment="1">
      <alignment vertical="center"/>
    </xf>
    <xf numFmtId="174" fontId="48" fillId="0" borderId="0" xfId="58" applyNumberFormat="1" applyFont="1" applyFill="1" applyAlignment="1">
      <alignment horizontal="right" vertical="center"/>
    </xf>
    <xf numFmtId="174" fontId="0" fillId="0" borderId="0" xfId="0" applyNumberFormat="1" applyAlignment="1">
      <alignment/>
    </xf>
    <xf numFmtId="174" fontId="63" fillId="0" borderId="0" xfId="58" applyNumberFormat="1" applyFont="1" applyFill="1" applyAlignment="1">
      <alignment horizontal="right" vertical="center"/>
    </xf>
    <xf numFmtId="0" fontId="49" fillId="0" borderId="0" xfId="0" applyFont="1" applyFill="1" applyAlignment="1">
      <alignment horizontal="right" vertical="center"/>
    </xf>
    <xf numFmtId="174" fontId="48" fillId="0" borderId="0" xfId="58" applyNumberFormat="1" applyFont="1" applyAlignment="1">
      <alignment horizontal="right" vertical="center"/>
    </xf>
    <xf numFmtId="174" fontId="50" fillId="0" borderId="0" xfId="58" applyNumberFormat="1" applyFont="1" applyAlignment="1">
      <alignment horizontal="right" vertical="center"/>
    </xf>
    <xf numFmtId="174" fontId="63" fillId="0" borderId="0" xfId="58" applyNumberFormat="1" applyFont="1" applyAlignment="1">
      <alignment horizontal="right" vertical="center"/>
    </xf>
    <xf numFmtId="37" fontId="49" fillId="0" borderId="0" xfId="58" applyNumberFormat="1" applyFont="1" applyAlignment="1">
      <alignment horizontal="center" vertical="center"/>
    </xf>
    <xf numFmtId="37" fontId="49" fillId="0" borderId="0" xfId="58" applyNumberFormat="1" applyFont="1" applyFill="1" applyAlignment="1">
      <alignment horizontal="center" vertical="center"/>
    </xf>
    <xf numFmtId="37" fontId="0" fillId="0" borderId="0" xfId="0" applyNumberFormat="1" applyAlignment="1">
      <alignment/>
    </xf>
    <xf numFmtId="174" fontId="0" fillId="0" borderId="0" xfId="58" applyNumberFormat="1" applyFont="1" applyAlignment="1">
      <alignment/>
    </xf>
    <xf numFmtId="0" fontId="49" fillId="0" borderId="0" xfId="0" applyFont="1" applyAlignment="1">
      <alignment horizontal="right" vertical="center" wrapText="1"/>
    </xf>
    <xf numFmtId="37" fontId="49" fillId="0" borderId="0" xfId="58" applyNumberFormat="1" applyFont="1" applyFill="1" applyAlignment="1">
      <alignment horizontal="right" vertical="center" wrapText="1"/>
    </xf>
    <xf numFmtId="0" fontId="63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3" fontId="48" fillId="0" borderId="0" xfId="0" applyNumberFormat="1" applyFont="1" applyFill="1" applyAlignment="1">
      <alignment horizontal="right" vertical="center"/>
    </xf>
    <xf numFmtId="0" fontId="48" fillId="0" borderId="0" xfId="0" applyFont="1" applyFill="1" applyAlignment="1">
      <alignment horizontal="right" vertical="center"/>
    </xf>
    <xf numFmtId="3" fontId="0" fillId="0" borderId="0" xfId="0" applyNumberFormat="1" applyAlignment="1">
      <alignment wrapText="1"/>
    </xf>
    <xf numFmtId="3" fontId="63" fillId="0" borderId="0" xfId="0" applyNumberFormat="1" applyFont="1" applyFill="1" applyAlignment="1">
      <alignment horizontal="right" vertical="center"/>
    </xf>
    <xf numFmtId="3" fontId="48" fillId="0" borderId="0" xfId="0" applyNumberFormat="1" applyFont="1" applyFill="1" applyAlignment="1">
      <alignment horizontal="right" vertical="center" wrapText="1"/>
    </xf>
    <xf numFmtId="0" fontId="48" fillId="0" borderId="0" xfId="0" applyFont="1" applyFill="1" applyAlignment="1">
      <alignment horizontal="right" vertical="center" wrapText="1"/>
    </xf>
    <xf numFmtId="3" fontId="39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5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174" fontId="0" fillId="0" borderId="0" xfId="58" applyNumberFormat="1" applyFont="1" applyFill="1" applyAlignment="1">
      <alignment/>
    </xf>
    <xf numFmtId="0" fontId="63" fillId="0" borderId="0" xfId="0" applyFont="1" applyFill="1" applyAlignment="1">
      <alignment horizontal="center" vertical="center"/>
    </xf>
    <xf numFmtId="3" fontId="63" fillId="0" borderId="0" xfId="0" applyNumberFormat="1" applyFont="1" applyFill="1" applyAlignment="1">
      <alignment horizontal="center" vertical="center"/>
    </xf>
    <xf numFmtId="3" fontId="50" fillId="0" borderId="0" xfId="0" applyNumberFormat="1" applyFont="1" applyAlignment="1">
      <alignment horizontal="right" vertical="center" wrapText="1"/>
    </xf>
    <xf numFmtId="0" fontId="62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4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horizontal="right" vertical="center" wrapText="1"/>
    </xf>
    <xf numFmtId="0" fontId="51" fillId="0" borderId="0" xfId="0" applyFont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4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63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3"/>
  <sheetViews>
    <sheetView zoomScalePageLayoutView="0" workbookViewId="0" topLeftCell="A4">
      <selection activeCell="C42" sqref="C42"/>
    </sheetView>
  </sheetViews>
  <sheetFormatPr defaultColWidth="9.140625" defaultRowHeight="15"/>
  <cols>
    <col min="1" max="1" width="64.421875" style="0" customWidth="1"/>
    <col min="2" max="2" width="11.140625" style="0" bestFit="1" customWidth="1"/>
    <col min="3" max="4" width="14.28125" style="0" customWidth="1"/>
    <col min="5" max="5" width="9.421875" style="0" bestFit="1" customWidth="1"/>
    <col min="7" max="7" width="10.421875" style="0" bestFit="1" customWidth="1"/>
  </cols>
  <sheetData>
    <row r="2" ht="15.75">
      <c r="A2" s="18" t="s">
        <v>36</v>
      </c>
    </row>
    <row r="3" ht="15.75">
      <c r="A3" s="18" t="s">
        <v>37</v>
      </c>
    </row>
    <row r="4" ht="15">
      <c r="A4" s="2"/>
    </row>
    <row r="5" ht="15">
      <c r="A5" s="2"/>
    </row>
    <row r="6" spans="1:4" ht="18.75">
      <c r="A6" s="95" t="s">
        <v>0</v>
      </c>
      <c r="B6" s="95"/>
      <c r="C6" s="95"/>
      <c r="D6" s="95"/>
    </row>
    <row r="7" spans="1:4" ht="15.75">
      <c r="A7" s="96" t="s">
        <v>119</v>
      </c>
      <c r="B7" s="96"/>
      <c r="C7" s="96"/>
      <c r="D7" s="96"/>
    </row>
    <row r="8" ht="18.75">
      <c r="A8" s="40"/>
    </row>
    <row r="9" ht="15">
      <c r="A9" s="1" t="s">
        <v>1</v>
      </c>
    </row>
    <row r="10" ht="15">
      <c r="A10" s="2"/>
    </row>
    <row r="11" spans="1:4" ht="15">
      <c r="A11" s="97"/>
      <c r="B11" s="98" t="s">
        <v>2</v>
      </c>
      <c r="C11" s="3" t="s">
        <v>120</v>
      </c>
      <c r="D11" s="45" t="s">
        <v>4</v>
      </c>
    </row>
    <row r="12" spans="1:4" ht="15">
      <c r="A12" s="97"/>
      <c r="B12" s="98"/>
      <c r="C12" s="3" t="s">
        <v>73</v>
      </c>
      <c r="D12" s="45" t="s">
        <v>3</v>
      </c>
    </row>
    <row r="13" spans="1:4" ht="15">
      <c r="A13" s="5"/>
      <c r="B13" s="5"/>
      <c r="C13" s="3" t="s">
        <v>5</v>
      </c>
      <c r="D13" s="52" t="s">
        <v>6</v>
      </c>
    </row>
    <row r="14" spans="1:4" ht="15">
      <c r="A14" s="5" t="s">
        <v>7</v>
      </c>
      <c r="B14" s="44"/>
      <c r="C14" s="44"/>
      <c r="D14" s="55"/>
    </row>
    <row r="15" spans="1:4" ht="15">
      <c r="A15" s="20" t="s">
        <v>8</v>
      </c>
      <c r="B15" s="12">
        <v>3</v>
      </c>
      <c r="C15" s="60">
        <v>13483</v>
      </c>
      <c r="D15" s="60">
        <v>13876</v>
      </c>
    </row>
    <row r="16" spans="1:4" ht="30">
      <c r="A16" s="42" t="s">
        <v>9</v>
      </c>
      <c r="B16" s="43">
        <v>4</v>
      </c>
      <c r="C16" s="60">
        <v>275122</v>
      </c>
      <c r="D16" s="60">
        <v>194134</v>
      </c>
    </row>
    <row r="17" spans="1:4" ht="15">
      <c r="A17" s="42" t="s">
        <v>10</v>
      </c>
      <c r="B17" s="43">
        <v>6</v>
      </c>
      <c r="C17" s="60">
        <v>7744</v>
      </c>
      <c r="D17" s="60">
        <v>8716</v>
      </c>
    </row>
    <row r="18" spans="1:4" ht="15">
      <c r="A18" s="42" t="s">
        <v>11</v>
      </c>
      <c r="B18" s="43">
        <v>7</v>
      </c>
      <c r="C18" s="61">
        <v>38817</v>
      </c>
      <c r="D18" s="61">
        <v>38817</v>
      </c>
    </row>
    <row r="19" spans="1:4" ht="15">
      <c r="A19" s="42" t="s">
        <v>74</v>
      </c>
      <c r="B19" s="43">
        <v>5</v>
      </c>
      <c r="C19" s="61">
        <v>285744</v>
      </c>
      <c r="D19" s="61">
        <f>122228+278374-1</f>
        <v>400601</v>
      </c>
    </row>
    <row r="20" spans="1:4" ht="15">
      <c r="A20" s="42" t="s">
        <v>12</v>
      </c>
      <c r="B20" s="43">
        <v>8</v>
      </c>
      <c r="C20" s="61">
        <v>17415</v>
      </c>
      <c r="D20" s="61">
        <f>3079+1197+11179</f>
        <v>15455</v>
      </c>
    </row>
    <row r="21" spans="1:4" ht="15">
      <c r="A21" s="42" t="s">
        <v>13</v>
      </c>
      <c r="B21" s="43">
        <v>8</v>
      </c>
      <c r="C21" s="61">
        <v>2139</v>
      </c>
      <c r="D21" s="61">
        <v>2561</v>
      </c>
    </row>
    <row r="22" spans="1:4" ht="15">
      <c r="A22" s="42" t="s">
        <v>14</v>
      </c>
      <c r="B22" s="43"/>
      <c r="C22" s="61"/>
      <c r="D22" s="61"/>
    </row>
    <row r="23" spans="1:4" ht="15.75">
      <c r="A23" s="17" t="s">
        <v>15</v>
      </c>
      <c r="B23" s="50"/>
      <c r="C23" s="62">
        <f>SUM(C15:C22)</f>
        <v>640464</v>
      </c>
      <c r="D23" s="62">
        <f>SUM(D15:D22)</f>
        <v>674160</v>
      </c>
    </row>
    <row r="24" spans="1:4" ht="15">
      <c r="A24" s="52"/>
      <c r="B24" s="50"/>
      <c r="C24" s="3"/>
      <c r="D24" s="45"/>
    </row>
    <row r="25" spans="1:4" ht="15">
      <c r="A25" s="52" t="s">
        <v>16</v>
      </c>
      <c r="B25" s="50"/>
      <c r="C25" s="10"/>
      <c r="D25" s="56"/>
    </row>
    <row r="26" spans="1:4" ht="15">
      <c r="A26" s="42" t="s">
        <v>17</v>
      </c>
      <c r="B26" s="43">
        <v>9</v>
      </c>
      <c r="C26" s="63">
        <v>26224</v>
      </c>
      <c r="D26" s="63">
        <v>26028</v>
      </c>
    </row>
    <row r="27" spans="1:4" ht="15">
      <c r="A27" s="42" t="s">
        <v>18</v>
      </c>
      <c r="B27" s="43">
        <v>10</v>
      </c>
      <c r="C27" s="63">
        <v>170</v>
      </c>
      <c r="D27" s="63">
        <v>313</v>
      </c>
    </row>
    <row r="28" spans="1:4" ht="15">
      <c r="A28" s="42" t="s">
        <v>75</v>
      </c>
      <c r="B28" s="43">
        <v>14</v>
      </c>
      <c r="C28" s="63">
        <v>1774</v>
      </c>
      <c r="D28" s="63">
        <v>1787</v>
      </c>
    </row>
    <row r="29" spans="1:4" ht="15">
      <c r="A29" s="42" t="s">
        <v>19</v>
      </c>
      <c r="B29" s="43">
        <v>14</v>
      </c>
      <c r="C29" s="63">
        <v>350095</v>
      </c>
      <c r="D29" s="63">
        <v>353494</v>
      </c>
    </row>
    <row r="30" spans="1:7" ht="15">
      <c r="A30" s="42" t="s">
        <v>76</v>
      </c>
      <c r="B30" s="43">
        <v>13</v>
      </c>
      <c r="C30" s="63">
        <v>9814</v>
      </c>
      <c r="D30" s="63">
        <f>8302+3152</f>
        <v>11454</v>
      </c>
      <c r="G30" s="64"/>
    </row>
    <row r="31" spans="1:4" ht="15">
      <c r="A31" s="42" t="s">
        <v>20</v>
      </c>
      <c r="B31" s="43">
        <v>11</v>
      </c>
      <c r="C31" s="63">
        <v>1982</v>
      </c>
      <c r="D31" s="63">
        <v>1301</v>
      </c>
    </row>
    <row r="32" spans="1:4" ht="15">
      <c r="A32" s="42" t="s">
        <v>21</v>
      </c>
      <c r="B32" s="43">
        <v>12</v>
      </c>
      <c r="C32" s="63">
        <v>3082</v>
      </c>
      <c r="D32" s="63">
        <v>489</v>
      </c>
    </row>
    <row r="33" spans="1:4" ht="15">
      <c r="A33" s="42" t="s">
        <v>77</v>
      </c>
      <c r="B33" s="43">
        <v>23</v>
      </c>
      <c r="C33" s="63">
        <v>1271</v>
      </c>
      <c r="D33" s="63">
        <v>1271</v>
      </c>
    </row>
    <row r="34" spans="1:7" ht="15.75">
      <c r="A34" s="17" t="s">
        <v>22</v>
      </c>
      <c r="B34" s="43"/>
      <c r="C34" s="65">
        <f>SUM(C26:C33)</f>
        <v>394412</v>
      </c>
      <c r="D34" s="65">
        <f>SUM(D26:D33)</f>
        <v>396137</v>
      </c>
      <c r="G34" s="64"/>
    </row>
    <row r="35" spans="1:4" ht="15">
      <c r="A35" s="52"/>
      <c r="B35" s="50"/>
      <c r="C35" s="66"/>
      <c r="D35" s="59"/>
    </row>
    <row r="36" spans="1:4" ht="15">
      <c r="A36" s="52" t="s">
        <v>23</v>
      </c>
      <c r="B36" s="43"/>
      <c r="C36" s="10"/>
      <c r="D36" s="56"/>
    </row>
    <row r="37" spans="1:4" ht="15">
      <c r="A37" s="42" t="s">
        <v>24</v>
      </c>
      <c r="B37" s="43">
        <v>15</v>
      </c>
      <c r="C37" s="67">
        <v>100000</v>
      </c>
      <c r="D37" s="67">
        <v>100000</v>
      </c>
    </row>
    <row r="38" spans="1:4" ht="15">
      <c r="A38" s="42" t="s">
        <v>25</v>
      </c>
      <c r="B38" s="43">
        <v>15</v>
      </c>
      <c r="C38" s="67">
        <v>63000</v>
      </c>
      <c r="D38" s="67">
        <v>63000</v>
      </c>
    </row>
    <row r="39" spans="1:4" ht="41.25" customHeight="1">
      <c r="A39" s="42" t="s">
        <v>26</v>
      </c>
      <c r="B39" s="43"/>
      <c r="C39" s="67">
        <v>41747</v>
      </c>
      <c r="D39" s="67">
        <v>78014</v>
      </c>
    </row>
    <row r="40" spans="1:4" ht="45">
      <c r="A40" s="42" t="s">
        <v>27</v>
      </c>
      <c r="B40" s="43"/>
      <c r="C40" s="68">
        <v>15996</v>
      </c>
      <c r="D40" s="68">
        <v>654</v>
      </c>
    </row>
    <row r="41" spans="1:5" ht="15">
      <c r="A41" s="42" t="s">
        <v>29</v>
      </c>
      <c r="B41" s="43"/>
      <c r="C41" s="68">
        <v>25309</v>
      </c>
      <c r="D41" s="68">
        <v>36355</v>
      </c>
      <c r="E41" s="64"/>
    </row>
    <row r="42" spans="1:4" ht="15.75">
      <c r="A42" s="17"/>
      <c r="B42" s="50"/>
      <c r="C42" s="67"/>
      <c r="D42" s="67"/>
    </row>
    <row r="43" spans="1:4" ht="15.75">
      <c r="A43" s="17" t="s">
        <v>30</v>
      </c>
      <c r="B43" s="50"/>
      <c r="C43" s="69">
        <f>SUM(C37:C42)</f>
        <v>246052</v>
      </c>
      <c r="D43" s="69">
        <f>SUM(D37:D42)</f>
        <v>278023</v>
      </c>
    </row>
    <row r="44" spans="1:8" ht="15.75">
      <c r="A44" s="17" t="s">
        <v>31</v>
      </c>
      <c r="B44" s="50"/>
      <c r="C44" s="69">
        <f>C34+C43</f>
        <v>640464</v>
      </c>
      <c r="D44" s="69">
        <f>D34+D43</f>
        <v>674160</v>
      </c>
      <c r="H44" s="64"/>
    </row>
    <row r="45" ht="15">
      <c r="A45" s="2"/>
    </row>
    <row r="46" ht="15">
      <c r="A46" s="2"/>
    </row>
    <row r="47" spans="1:6" ht="15.75" thickBot="1">
      <c r="A47" s="13" t="s">
        <v>32</v>
      </c>
      <c r="B47" s="13"/>
      <c r="C47" s="19"/>
      <c r="D47" s="14" t="s">
        <v>33</v>
      </c>
      <c r="E47" s="19"/>
      <c r="F47" s="14"/>
    </row>
    <row r="48" spans="1:6" ht="15">
      <c r="A48" s="19"/>
      <c r="B48" s="19"/>
      <c r="C48" s="19"/>
      <c r="D48" s="15" t="s">
        <v>34</v>
      </c>
      <c r="E48" s="19"/>
      <c r="F48" s="15" t="s">
        <v>38</v>
      </c>
    </row>
    <row r="49" spans="1:6" ht="15.75" thickBot="1">
      <c r="A49" s="13" t="s">
        <v>35</v>
      </c>
      <c r="B49" s="13"/>
      <c r="C49" s="13"/>
      <c r="D49" s="14" t="s">
        <v>121</v>
      </c>
      <c r="E49" s="19"/>
      <c r="F49" s="14"/>
    </row>
    <row r="50" spans="1:6" ht="15">
      <c r="A50" s="19"/>
      <c r="C50" s="19"/>
      <c r="D50" s="15" t="s">
        <v>34</v>
      </c>
      <c r="E50" s="19"/>
      <c r="F50" s="15" t="s">
        <v>38</v>
      </c>
    </row>
    <row r="51" spans="1:2" ht="15">
      <c r="A51" s="2"/>
      <c r="B51" s="46" t="s">
        <v>39</v>
      </c>
    </row>
    <row r="52" ht="15">
      <c r="A52" s="2"/>
    </row>
    <row r="53" ht="15">
      <c r="A53" s="16" t="s">
        <v>122</v>
      </c>
    </row>
  </sheetData>
  <sheetProtection/>
  <mergeCells count="4">
    <mergeCell ref="A6:D6"/>
    <mergeCell ref="A7:D7"/>
    <mergeCell ref="A11:A12"/>
    <mergeCell ref="B11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1"/>
  <sheetViews>
    <sheetView tabSelected="1" zoomScalePageLayoutView="0" workbookViewId="0" topLeftCell="A11">
      <selection activeCell="E27" sqref="E27:G28"/>
    </sheetView>
  </sheetViews>
  <sheetFormatPr defaultColWidth="9.140625" defaultRowHeight="15"/>
  <cols>
    <col min="1" max="1" width="64.57421875" style="0" customWidth="1"/>
    <col min="2" max="2" width="13.140625" style="0" customWidth="1"/>
    <col min="3" max="4" width="16.57421875" style="0" customWidth="1"/>
  </cols>
  <sheetData>
    <row r="2" ht="15.75">
      <c r="A2" s="18" t="s">
        <v>36</v>
      </c>
    </row>
    <row r="3" ht="15.75">
      <c r="A3" s="18" t="s">
        <v>37</v>
      </c>
    </row>
    <row r="4" ht="15">
      <c r="A4" s="2"/>
    </row>
    <row r="5" ht="15">
      <c r="A5" s="2"/>
    </row>
    <row r="6" ht="15">
      <c r="A6" s="2"/>
    </row>
    <row r="7" spans="1:9" ht="18.75">
      <c r="A7" s="95" t="s">
        <v>40</v>
      </c>
      <c r="B7" s="95"/>
      <c r="C7" s="95"/>
      <c r="D7" s="95"/>
      <c r="E7" s="95"/>
      <c r="F7" s="95"/>
      <c r="G7" s="95"/>
      <c r="H7" s="95"/>
      <c r="I7" s="95"/>
    </row>
    <row r="8" spans="1:9" ht="15">
      <c r="A8" s="101" t="s">
        <v>123</v>
      </c>
      <c r="B8" s="101"/>
      <c r="C8" s="101"/>
      <c r="D8" s="101"/>
      <c r="E8" s="101"/>
      <c r="F8" s="101"/>
      <c r="G8" s="101"/>
      <c r="H8" s="101"/>
      <c r="I8" s="101"/>
    </row>
    <row r="9" ht="18.75">
      <c r="A9" s="40"/>
    </row>
    <row r="10" ht="15">
      <c r="A10" s="10" t="s">
        <v>41</v>
      </c>
    </row>
    <row r="11" spans="1:4" ht="15">
      <c r="A11" s="99"/>
      <c r="B11" s="97"/>
      <c r="C11" s="98" t="s">
        <v>128</v>
      </c>
      <c r="D11" s="98"/>
    </row>
    <row r="12" spans="1:4" ht="15">
      <c r="A12" s="99"/>
      <c r="B12" s="97"/>
      <c r="C12" s="98" t="s">
        <v>124</v>
      </c>
      <c r="D12" s="98"/>
    </row>
    <row r="13" spans="1:4" ht="15">
      <c r="A13" s="99"/>
      <c r="B13" s="98" t="s">
        <v>2</v>
      </c>
      <c r="C13" s="100" t="s">
        <v>78</v>
      </c>
      <c r="D13" s="45" t="s">
        <v>72</v>
      </c>
    </row>
    <row r="14" spans="1:4" ht="15">
      <c r="A14" s="99"/>
      <c r="B14" s="98"/>
      <c r="C14" s="100"/>
      <c r="D14" s="50" t="s">
        <v>5</v>
      </c>
    </row>
    <row r="15" spans="1:4" ht="15">
      <c r="A15" s="44"/>
      <c r="B15" s="12"/>
      <c r="C15" s="12"/>
      <c r="D15" s="56"/>
    </row>
    <row r="16" spans="1:4" ht="15" hidden="1">
      <c r="A16" s="55" t="s">
        <v>42</v>
      </c>
      <c r="B16" s="12"/>
      <c r="C16" s="70"/>
      <c r="D16" s="70"/>
    </row>
    <row r="17" spans="1:4" ht="15">
      <c r="A17" s="55" t="s">
        <v>79</v>
      </c>
      <c r="B17" s="12">
        <v>16</v>
      </c>
      <c r="C17" s="71">
        <f>78860+29902</f>
        <v>108762</v>
      </c>
      <c r="D17" s="71">
        <f>5762+21521</f>
        <v>27283</v>
      </c>
    </row>
    <row r="18" spans="1:4" ht="15">
      <c r="A18" s="55" t="s">
        <v>80</v>
      </c>
      <c r="B18" s="12">
        <v>17</v>
      </c>
      <c r="C18" s="71">
        <f>-24653-11970</f>
        <v>-36623</v>
      </c>
      <c r="D18" s="71">
        <f>-437-7737</f>
        <v>-8174</v>
      </c>
    </row>
    <row r="19" spans="1:4" ht="15">
      <c r="A19" s="55" t="s">
        <v>81</v>
      </c>
      <c r="B19" s="12">
        <v>19</v>
      </c>
      <c r="C19" s="71">
        <f>-4036+1530</f>
        <v>-2506</v>
      </c>
      <c r="D19" s="70">
        <f>13484-855</f>
        <v>12629</v>
      </c>
    </row>
    <row r="20" spans="1:4" ht="15">
      <c r="A20" s="55" t="s">
        <v>43</v>
      </c>
      <c r="B20" s="12">
        <v>21</v>
      </c>
      <c r="C20" s="71">
        <f>1659+3684</f>
        <v>5343</v>
      </c>
      <c r="D20" s="70">
        <f>5188+116-1</f>
        <v>5303</v>
      </c>
    </row>
    <row r="21" spans="1:4" ht="15">
      <c r="A21" s="55" t="s">
        <v>82</v>
      </c>
      <c r="B21" s="12">
        <v>18</v>
      </c>
      <c r="C21" s="71">
        <f>-26072-9151</f>
        <v>-35223</v>
      </c>
      <c r="D21" s="70"/>
    </row>
    <row r="22" spans="1:4" ht="15">
      <c r="A22" s="55" t="s">
        <v>44</v>
      </c>
      <c r="B22" s="12">
        <v>20</v>
      </c>
      <c r="C22" s="71">
        <f>-20569-7967</f>
        <v>-28536</v>
      </c>
      <c r="D22" s="70">
        <f>-17203-9931</f>
        <v>-27134</v>
      </c>
    </row>
    <row r="23" spans="1:4" ht="15">
      <c r="A23" s="55" t="s">
        <v>83</v>
      </c>
      <c r="B23" s="12">
        <v>22</v>
      </c>
      <c r="C23" s="70">
        <f>-217-15512</f>
        <v>-15729</v>
      </c>
      <c r="D23" s="70">
        <v>-63</v>
      </c>
    </row>
    <row r="24" spans="1:4" ht="18" customHeight="1">
      <c r="A24" s="55" t="s">
        <v>84</v>
      </c>
      <c r="B24" s="12">
        <v>5</v>
      </c>
      <c r="C24" s="70">
        <f>-11856+5322</f>
        <v>-6534</v>
      </c>
      <c r="D24" s="70">
        <v>-1818</v>
      </c>
    </row>
    <row r="25" spans="1:7" ht="15">
      <c r="A25" s="52" t="s">
        <v>45</v>
      </c>
      <c r="B25" s="41"/>
      <c r="C25" s="70">
        <f>C17+C18+C19+C20+C21+C22+C24+C23</f>
        <v>-11046</v>
      </c>
      <c r="D25" s="70">
        <f>D17+D19+D20+D2+D22+D242+D23+D18+D24</f>
        <v>8026</v>
      </c>
      <c r="F25" s="72"/>
      <c r="G25" s="72"/>
    </row>
    <row r="26" spans="1:4" ht="15">
      <c r="A26" s="55" t="s">
        <v>46</v>
      </c>
      <c r="B26" s="12"/>
      <c r="C26" s="70"/>
      <c r="D26" s="70"/>
    </row>
    <row r="27" spans="1:7" ht="15">
      <c r="A27" s="52" t="s">
        <v>47</v>
      </c>
      <c r="B27" s="41"/>
      <c r="C27" s="70">
        <f>C25-C26</f>
        <v>-11046</v>
      </c>
      <c r="D27" s="70">
        <f>D25-D26</f>
        <v>8026</v>
      </c>
      <c r="F27" s="72"/>
      <c r="G27" s="72"/>
    </row>
    <row r="28" spans="1:4" ht="15">
      <c r="A28" s="52" t="s">
        <v>48</v>
      </c>
      <c r="B28" s="41"/>
      <c r="C28" s="70"/>
      <c r="D28" s="70"/>
    </row>
    <row r="29" spans="1:4" ht="27">
      <c r="A29" s="24" t="s">
        <v>49</v>
      </c>
      <c r="B29" s="12"/>
      <c r="C29" s="70"/>
      <c r="D29" s="70"/>
    </row>
    <row r="30" spans="1:4" ht="25.5">
      <c r="A30" s="55" t="s">
        <v>50</v>
      </c>
      <c r="B30" s="12"/>
      <c r="C30" s="71">
        <f>-252+1072</f>
        <v>820</v>
      </c>
      <c r="D30" s="71">
        <v>-1322</v>
      </c>
    </row>
    <row r="31" spans="1:4" ht="38.25">
      <c r="A31" s="55" t="s">
        <v>51</v>
      </c>
      <c r="B31" s="12"/>
      <c r="C31" s="71">
        <f>-34+15376</f>
        <v>15342</v>
      </c>
      <c r="D31" s="71">
        <v>-3944</v>
      </c>
    </row>
    <row r="32" spans="1:4" ht="25.5">
      <c r="A32" s="52" t="s">
        <v>52</v>
      </c>
      <c r="B32" s="41"/>
      <c r="C32" s="71">
        <f>C31+C30</f>
        <v>16162</v>
      </c>
      <c r="D32" s="71">
        <f>D31+D30</f>
        <v>-5266</v>
      </c>
    </row>
    <row r="33" spans="1:4" ht="27">
      <c r="A33" s="24" t="s">
        <v>53</v>
      </c>
      <c r="B33" s="12"/>
      <c r="C33" s="71"/>
      <c r="D33" s="71"/>
    </row>
    <row r="34" spans="1:4" ht="25.5">
      <c r="A34" s="55" t="s">
        <v>54</v>
      </c>
      <c r="B34" s="12"/>
      <c r="C34" s="71">
        <f>-57827+20740</f>
        <v>-37087</v>
      </c>
      <c r="D34" s="71">
        <v>38245</v>
      </c>
    </row>
    <row r="35" spans="1:4" ht="25.5">
      <c r="A35" s="52" t="s">
        <v>55</v>
      </c>
      <c r="B35" s="12"/>
      <c r="C35" s="71">
        <f>C34</f>
        <v>-37087</v>
      </c>
      <c r="D35" s="71">
        <f>D34</f>
        <v>38245</v>
      </c>
    </row>
    <row r="36" spans="1:4" ht="15">
      <c r="A36" s="52" t="s">
        <v>56</v>
      </c>
      <c r="B36" s="12"/>
      <c r="C36" s="71">
        <f>C32+C35</f>
        <v>-20925</v>
      </c>
      <c r="D36" s="71">
        <f>D32+D35</f>
        <v>32979</v>
      </c>
    </row>
    <row r="37" spans="1:4" ht="15">
      <c r="A37" s="52" t="s">
        <v>57</v>
      </c>
      <c r="B37" s="12"/>
      <c r="C37" s="71">
        <f>C27+C36</f>
        <v>-31971</v>
      </c>
      <c r="D37" s="71">
        <f>D27+D36</f>
        <v>41005</v>
      </c>
    </row>
    <row r="38" spans="1:4" ht="15">
      <c r="A38" s="47"/>
      <c r="C38" s="91"/>
      <c r="D38" s="91"/>
    </row>
    <row r="39" spans="1:4" ht="15">
      <c r="A39" s="2"/>
      <c r="C39" s="73"/>
      <c r="D39" s="73"/>
    </row>
    <row r="40" ht="15">
      <c r="A40" s="2"/>
    </row>
    <row r="41" ht="15">
      <c r="A41" s="2"/>
    </row>
    <row r="42" ht="15">
      <c r="A42" s="2"/>
    </row>
    <row r="43" spans="1:6" ht="15.75" thickBot="1">
      <c r="A43" s="13" t="s">
        <v>32</v>
      </c>
      <c r="B43" s="19"/>
      <c r="C43" s="14" t="s">
        <v>33</v>
      </c>
      <c r="D43" s="19"/>
      <c r="E43" s="14"/>
      <c r="F43" s="19"/>
    </row>
    <row r="44" spans="1:6" ht="15">
      <c r="A44" s="19"/>
      <c r="B44" s="19"/>
      <c r="C44" s="15" t="s">
        <v>34</v>
      </c>
      <c r="D44" s="19"/>
      <c r="E44" s="15" t="s">
        <v>38</v>
      </c>
      <c r="F44" s="19"/>
    </row>
    <row r="45" spans="1:6" ht="15.75" thickBot="1">
      <c r="A45" s="13" t="s">
        <v>35</v>
      </c>
      <c r="B45" s="13"/>
      <c r="C45" s="14" t="s">
        <v>121</v>
      </c>
      <c r="D45" s="19"/>
      <c r="E45" s="14"/>
      <c r="F45" s="13"/>
    </row>
    <row r="46" spans="1:6" ht="15">
      <c r="A46" s="19"/>
      <c r="B46" s="19"/>
      <c r="C46" s="15" t="s">
        <v>34</v>
      </c>
      <c r="D46" s="19"/>
      <c r="E46" s="15" t="s">
        <v>38</v>
      </c>
      <c r="F46" s="19"/>
    </row>
    <row r="47" ht="15">
      <c r="A47" s="2"/>
    </row>
    <row r="48" spans="1:2" ht="15">
      <c r="A48" s="2"/>
      <c r="B48" s="46" t="s">
        <v>39</v>
      </c>
    </row>
    <row r="49" ht="15">
      <c r="A49" s="2"/>
    </row>
    <row r="50" ht="15">
      <c r="A50" s="2"/>
    </row>
    <row r="51" ht="15">
      <c r="A51" s="16" t="s">
        <v>125</v>
      </c>
    </row>
  </sheetData>
  <sheetProtection/>
  <mergeCells count="9">
    <mergeCell ref="A13:A14"/>
    <mergeCell ref="B13:B14"/>
    <mergeCell ref="C13:C14"/>
    <mergeCell ref="A7:I7"/>
    <mergeCell ref="A8:I8"/>
    <mergeCell ref="A11:A12"/>
    <mergeCell ref="B11:B12"/>
    <mergeCell ref="C11:D11"/>
    <mergeCell ref="C12:D1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C8">
      <selection activeCell="J16" sqref="J16"/>
    </sheetView>
  </sheetViews>
  <sheetFormatPr defaultColWidth="9.140625" defaultRowHeight="15"/>
  <cols>
    <col min="1" max="1" width="47.140625" style="0" customWidth="1"/>
    <col min="3" max="3" width="7.28125" style="0" customWidth="1"/>
    <col min="4" max="4" width="13.57421875" style="0" customWidth="1"/>
    <col min="5" max="5" width="19.421875" style="0" customWidth="1"/>
    <col min="6" max="6" width="19.8515625" style="0" customWidth="1"/>
    <col min="7" max="7" width="14.57421875" style="0" customWidth="1"/>
    <col min="8" max="8" width="13.140625" style="0" customWidth="1"/>
  </cols>
  <sheetData>
    <row r="1" ht="15.75">
      <c r="A1" s="18" t="s">
        <v>36</v>
      </c>
    </row>
    <row r="2" ht="15.75">
      <c r="A2" s="18" t="s">
        <v>37</v>
      </c>
    </row>
    <row r="4" spans="1:7" ht="18.75">
      <c r="A4" s="95" t="s">
        <v>58</v>
      </c>
      <c r="B4" s="95"/>
      <c r="C4" s="95"/>
      <c r="D4" s="95"/>
      <c r="E4" s="95"/>
      <c r="F4" s="95"/>
      <c r="G4" s="95"/>
    </row>
    <row r="5" spans="1:7" ht="15">
      <c r="A5" s="101" t="s">
        <v>129</v>
      </c>
      <c r="B5" s="101"/>
      <c r="C5" s="101"/>
      <c r="D5" s="101"/>
      <c r="E5" s="101"/>
      <c r="F5" s="101"/>
      <c r="G5" s="101"/>
    </row>
    <row r="6" ht="15">
      <c r="A6" s="21"/>
    </row>
    <row r="7" ht="15">
      <c r="A7" s="25"/>
    </row>
    <row r="8" spans="1:9" ht="15">
      <c r="A8" s="99"/>
      <c r="B8" s="99"/>
      <c r="C8" s="97"/>
      <c r="D8" s="97"/>
      <c r="E8" s="97"/>
      <c r="F8" s="97"/>
      <c r="G8" t="s">
        <v>63</v>
      </c>
      <c r="H8" s="23"/>
      <c r="I8" s="23"/>
    </row>
    <row r="9" spans="1:9" ht="42" customHeight="1">
      <c r="A9" s="104"/>
      <c r="B9" s="103" t="s">
        <v>24</v>
      </c>
      <c r="C9" s="103"/>
      <c r="D9" s="103" t="s">
        <v>59</v>
      </c>
      <c r="E9" s="105" t="s">
        <v>26</v>
      </c>
      <c r="F9" s="105" t="s">
        <v>27</v>
      </c>
      <c r="G9" s="103" t="s">
        <v>62</v>
      </c>
      <c r="H9" s="103" t="s">
        <v>30</v>
      </c>
      <c r="I9" s="102"/>
    </row>
    <row r="10" spans="1:9" ht="36.75" customHeight="1">
      <c r="A10" s="104"/>
      <c r="B10" s="103"/>
      <c r="C10" s="103"/>
      <c r="D10" s="103"/>
      <c r="E10" s="105"/>
      <c r="F10" s="105"/>
      <c r="G10" s="103"/>
      <c r="H10" s="103"/>
      <c r="I10" s="102"/>
    </row>
    <row r="11" spans="1:9" ht="54" customHeight="1">
      <c r="A11" s="104"/>
      <c r="B11" s="103"/>
      <c r="C11" s="103"/>
      <c r="D11" s="103"/>
      <c r="E11" s="105"/>
      <c r="F11" s="105"/>
      <c r="G11" s="103"/>
      <c r="H11" s="103"/>
      <c r="I11" s="102"/>
    </row>
    <row r="12" spans="1:9" ht="15">
      <c r="A12" s="30" t="s">
        <v>69</v>
      </c>
      <c r="B12" s="53">
        <v>100000</v>
      </c>
      <c r="D12" s="48">
        <v>4600</v>
      </c>
      <c r="E12" s="27">
        <v>11428</v>
      </c>
      <c r="F12" s="27">
        <v>3944</v>
      </c>
      <c r="G12" s="11">
        <v>20981</v>
      </c>
      <c r="H12" s="27">
        <v>140953</v>
      </c>
      <c r="I12" s="7"/>
    </row>
    <row r="13" spans="1:9" ht="15">
      <c r="A13" s="8" t="s">
        <v>60</v>
      </c>
      <c r="B13" s="53" t="s">
        <v>28</v>
      </c>
      <c r="D13" s="49">
        <f>18400+40000</f>
        <v>58400</v>
      </c>
      <c r="E13" s="26">
        <f>36923+19324</f>
        <v>56247</v>
      </c>
      <c r="F13" s="26">
        <v>-3944</v>
      </c>
      <c r="G13" s="27">
        <f>6731+1295</f>
        <v>8026</v>
      </c>
      <c r="H13" s="26">
        <f>SUM(D13:G13)</f>
        <v>118729</v>
      </c>
      <c r="I13" s="7"/>
    </row>
    <row r="14" spans="1:9" ht="15">
      <c r="A14" s="8" t="s">
        <v>48</v>
      </c>
      <c r="B14" s="53" t="s">
        <v>28</v>
      </c>
      <c r="D14" s="49" t="s">
        <v>28</v>
      </c>
      <c r="E14" s="28" t="s">
        <v>28</v>
      </c>
      <c r="F14" s="9"/>
      <c r="G14" s="45" t="s">
        <v>28</v>
      </c>
      <c r="H14" s="45" t="s">
        <v>28</v>
      </c>
      <c r="I14" s="7"/>
    </row>
    <row r="15" spans="1:9" ht="15">
      <c r="A15" s="6" t="s">
        <v>61</v>
      </c>
      <c r="B15" s="53" t="s">
        <v>28</v>
      </c>
      <c r="D15" s="48">
        <f>D13</f>
        <v>58400</v>
      </c>
      <c r="E15" s="27">
        <f>E13</f>
        <v>56247</v>
      </c>
      <c r="F15" s="94">
        <f>F13</f>
        <v>-3944</v>
      </c>
      <c r="G15" s="11">
        <f>G13</f>
        <v>8026</v>
      </c>
      <c r="H15" s="27">
        <f>SUM(D15:G15)</f>
        <v>118729</v>
      </c>
      <c r="I15" s="7"/>
    </row>
    <row r="16" spans="1:9" ht="15">
      <c r="A16" s="6" t="s">
        <v>126</v>
      </c>
      <c r="B16" s="53">
        <v>100000</v>
      </c>
      <c r="D16" s="48">
        <f>D15+D12</f>
        <v>63000</v>
      </c>
      <c r="E16" s="27">
        <f>E12+E15</f>
        <v>67675</v>
      </c>
      <c r="F16" s="52">
        <v>0</v>
      </c>
      <c r="G16" s="11">
        <f>G12+G15</f>
        <v>29007</v>
      </c>
      <c r="H16" s="11">
        <f>H12+H15</f>
        <v>259682</v>
      </c>
      <c r="I16" s="102"/>
    </row>
    <row r="17" spans="1:9" ht="15">
      <c r="A17" s="6" t="s">
        <v>5</v>
      </c>
      <c r="B17" s="38"/>
      <c r="D17" s="48"/>
      <c r="E17" s="9"/>
      <c r="F17" s="52"/>
      <c r="G17" s="9"/>
      <c r="H17" s="9"/>
      <c r="I17" s="102"/>
    </row>
    <row r="18" spans="1:9" ht="15">
      <c r="A18" s="8"/>
      <c r="B18" s="22"/>
      <c r="D18" s="49"/>
      <c r="F18" s="9"/>
      <c r="I18" s="7"/>
    </row>
    <row r="19" spans="1:9" ht="15">
      <c r="A19" s="30" t="s">
        <v>85</v>
      </c>
      <c r="B19" s="37">
        <v>100000</v>
      </c>
      <c r="D19" s="53">
        <v>63000</v>
      </c>
      <c r="E19" s="27">
        <f>78014+654</f>
        <v>78668</v>
      </c>
      <c r="F19" s="27"/>
      <c r="G19" s="11">
        <v>36355</v>
      </c>
      <c r="H19" s="27">
        <f>SUM(B19:G19)</f>
        <v>278023</v>
      </c>
      <c r="I19" s="7"/>
    </row>
    <row r="20" spans="1:9" ht="15">
      <c r="A20" s="8" t="s">
        <v>60</v>
      </c>
      <c r="B20" s="22" t="s">
        <v>28</v>
      </c>
      <c r="D20" s="51"/>
      <c r="E20" s="26">
        <f>-E19+20555+21192</f>
        <v>-36921</v>
      </c>
      <c r="F20" s="26">
        <v>15996</v>
      </c>
      <c r="G20" s="27">
        <f>-G19+29471-4162</f>
        <v>-11046</v>
      </c>
      <c r="H20" s="27">
        <f>SUM(D20:G20)</f>
        <v>-31971</v>
      </c>
      <c r="I20" s="7"/>
    </row>
    <row r="21" spans="1:9" ht="15">
      <c r="A21" s="8" t="s">
        <v>48</v>
      </c>
      <c r="B21" s="23" t="s">
        <v>28</v>
      </c>
      <c r="D21" s="50" t="s">
        <v>28</v>
      </c>
      <c r="E21" s="28" t="s">
        <v>28</v>
      </c>
      <c r="F21" s="4"/>
      <c r="G21" s="4" t="s">
        <v>28</v>
      </c>
      <c r="H21" s="74" t="s">
        <v>28</v>
      </c>
      <c r="I21" s="7"/>
    </row>
    <row r="22" spans="1:9" ht="15">
      <c r="A22" s="6" t="s">
        <v>61</v>
      </c>
      <c r="B22" s="23" t="s">
        <v>28</v>
      </c>
      <c r="D22" s="54" t="s">
        <v>28</v>
      </c>
      <c r="E22" s="27">
        <f>E20</f>
        <v>-36921</v>
      </c>
      <c r="F22" s="27">
        <f>F20</f>
        <v>15996</v>
      </c>
      <c r="G22" s="11">
        <f>G20</f>
        <v>-11046</v>
      </c>
      <c r="H22" s="27">
        <f>SUM(D22:G22)</f>
        <v>-31971</v>
      </c>
      <c r="I22" s="7"/>
    </row>
    <row r="23" spans="1:9" ht="15">
      <c r="A23" s="6" t="s">
        <v>127</v>
      </c>
      <c r="B23" s="37">
        <v>100000</v>
      </c>
      <c r="D23" s="53">
        <v>63000</v>
      </c>
      <c r="E23" s="27">
        <f>E19+E22</f>
        <v>41747</v>
      </c>
      <c r="F23" s="27">
        <f>F19+F22</f>
        <v>15996</v>
      </c>
      <c r="G23" s="11">
        <f>G19+G22</f>
        <v>25309</v>
      </c>
      <c r="H23" s="11">
        <f>H19+H22</f>
        <v>246052</v>
      </c>
      <c r="I23" s="7"/>
    </row>
    <row r="24" spans="1:9" ht="15">
      <c r="A24" s="106"/>
      <c r="B24" s="106"/>
      <c r="C24" s="103"/>
      <c r="D24" s="103"/>
      <c r="E24" s="23"/>
      <c r="F24" s="23"/>
      <c r="I24" s="4"/>
    </row>
    <row r="25" spans="1:9" ht="15">
      <c r="A25" s="29"/>
      <c r="B25" s="29"/>
      <c r="C25" s="29"/>
      <c r="D25" s="29"/>
      <c r="E25" s="29"/>
      <c r="F25" s="29"/>
      <c r="I25" s="29"/>
    </row>
    <row r="26" spans="1:6" ht="15">
      <c r="A26" s="31"/>
      <c r="B26" s="32"/>
      <c r="C26" s="32"/>
      <c r="D26" s="32"/>
      <c r="E26" s="32"/>
      <c r="F26" s="32"/>
    </row>
    <row r="27" spans="1:9" ht="15">
      <c r="A27" s="31"/>
      <c r="B27" s="32"/>
      <c r="C27" s="32"/>
      <c r="D27" s="81"/>
      <c r="E27" s="32"/>
      <c r="F27" s="32"/>
      <c r="G27" s="32"/>
      <c r="H27" s="32"/>
      <c r="I27" t="s">
        <v>131</v>
      </c>
    </row>
    <row r="28" spans="1:8" ht="15">
      <c r="A28" s="33"/>
      <c r="B28" s="32"/>
      <c r="C28" s="32"/>
      <c r="D28" s="81"/>
      <c r="E28" s="32"/>
      <c r="F28" s="32"/>
      <c r="G28" s="32"/>
      <c r="H28" s="32"/>
    </row>
    <row r="29" spans="1:8" ht="15">
      <c r="A29" s="33"/>
      <c r="B29" s="32"/>
      <c r="C29" s="32"/>
      <c r="D29" s="32"/>
      <c r="E29" s="32"/>
      <c r="F29" s="32"/>
      <c r="G29" s="32"/>
      <c r="H29" s="32"/>
    </row>
    <row r="30" spans="1:8" ht="15.75" thickBot="1">
      <c r="A30" s="102" t="s">
        <v>32</v>
      </c>
      <c r="B30" s="102"/>
      <c r="C30" s="102"/>
      <c r="D30" s="102"/>
      <c r="E30" s="35" t="s">
        <v>33</v>
      </c>
      <c r="F30" s="32"/>
      <c r="G30" s="32"/>
      <c r="H30" s="32"/>
    </row>
    <row r="31" spans="1:9" ht="22.5">
      <c r="A31" s="34"/>
      <c r="B31" s="34"/>
      <c r="C31" s="34"/>
      <c r="D31" s="34"/>
      <c r="E31" s="36" t="s">
        <v>34</v>
      </c>
      <c r="F31" s="32"/>
      <c r="G31" s="32"/>
      <c r="H31" s="32"/>
      <c r="I31" s="32"/>
    </row>
    <row r="32" spans="1:9" ht="15.75" thickBot="1">
      <c r="A32" s="102" t="s">
        <v>35</v>
      </c>
      <c r="B32" s="102"/>
      <c r="C32" s="102"/>
      <c r="D32" s="102"/>
      <c r="E32" s="35" t="s">
        <v>121</v>
      </c>
      <c r="F32" s="32"/>
      <c r="G32" s="32"/>
      <c r="H32" s="32"/>
      <c r="I32" s="32"/>
    </row>
    <row r="33" spans="1:9" ht="22.5">
      <c r="A33" s="34"/>
      <c r="B33" s="33" t="s">
        <v>39</v>
      </c>
      <c r="C33" s="34"/>
      <c r="D33" s="34"/>
      <c r="E33" s="36" t="s">
        <v>34</v>
      </c>
      <c r="F33" s="32"/>
      <c r="G33" s="32"/>
      <c r="H33" s="32"/>
      <c r="I33" s="32"/>
    </row>
    <row r="34" spans="1:9" ht="15">
      <c r="A34" s="7"/>
      <c r="B34" s="32"/>
      <c r="C34" s="32"/>
      <c r="D34" s="32"/>
      <c r="E34" s="32"/>
      <c r="F34" s="32"/>
      <c r="G34" s="32"/>
      <c r="H34" s="32"/>
      <c r="I34" s="32"/>
    </row>
    <row r="35" spans="1:9" ht="15">
      <c r="A35" s="7"/>
      <c r="B35" s="32"/>
      <c r="C35" s="32"/>
      <c r="D35" s="32"/>
      <c r="E35" s="32"/>
      <c r="F35" s="32"/>
      <c r="G35" s="32"/>
      <c r="H35" s="32"/>
      <c r="I35" s="32"/>
    </row>
    <row r="36" spans="1:9" ht="15">
      <c r="A36" s="7"/>
      <c r="B36" s="32"/>
      <c r="C36" s="32"/>
      <c r="D36" s="32"/>
      <c r="E36" s="32"/>
      <c r="F36" s="32"/>
      <c r="G36" s="32"/>
      <c r="H36" s="32"/>
      <c r="I36" s="3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16" t="s">
        <v>125</v>
      </c>
    </row>
  </sheetData>
  <sheetProtection/>
  <mergeCells count="18">
    <mergeCell ref="A4:G4"/>
    <mergeCell ref="A5:G5"/>
    <mergeCell ref="G9:G11"/>
    <mergeCell ref="A30:D30"/>
    <mergeCell ref="A32:D32"/>
    <mergeCell ref="A24:B24"/>
    <mergeCell ref="C24:D24"/>
    <mergeCell ref="A8:B8"/>
    <mergeCell ref="C8:D8"/>
    <mergeCell ref="E8:F8"/>
    <mergeCell ref="I16:I17"/>
    <mergeCell ref="H9:H11"/>
    <mergeCell ref="I9:I11"/>
    <mergeCell ref="A9:A11"/>
    <mergeCell ref="B9:C11"/>
    <mergeCell ref="D9:D11"/>
    <mergeCell ref="E9:E11"/>
    <mergeCell ref="F9:F1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zoomScale="120" zoomScaleNormal="120" zoomScalePageLayoutView="0" workbookViewId="0" topLeftCell="B48">
      <selection activeCell="C59" sqref="C59:C60"/>
    </sheetView>
  </sheetViews>
  <sheetFormatPr defaultColWidth="9.140625" defaultRowHeight="15"/>
  <cols>
    <col min="1" max="1" width="59.140625" style="0" customWidth="1"/>
    <col min="2" max="2" width="16.00390625" style="0" customWidth="1"/>
    <col min="3" max="3" width="18.140625" style="0" customWidth="1"/>
    <col min="4" max="4" width="16.7109375" style="0" customWidth="1"/>
  </cols>
  <sheetData>
    <row r="1" ht="15.75">
      <c r="A1" s="18" t="s">
        <v>36</v>
      </c>
    </row>
    <row r="2" ht="15.75">
      <c r="A2" s="18" t="s">
        <v>37</v>
      </c>
    </row>
    <row r="3" ht="15">
      <c r="A3" s="2"/>
    </row>
    <row r="4" ht="15">
      <c r="A4" s="2"/>
    </row>
    <row r="5" ht="15">
      <c r="A5" s="2"/>
    </row>
    <row r="6" ht="15">
      <c r="A6" s="2"/>
    </row>
    <row r="7" spans="1:3" ht="18.75">
      <c r="A7" s="95" t="s">
        <v>64</v>
      </c>
      <c r="B7" s="95"/>
      <c r="C7" s="95"/>
    </row>
    <row r="8" spans="1:3" ht="15">
      <c r="A8" s="101" t="s">
        <v>129</v>
      </c>
      <c r="B8" s="101"/>
      <c r="C8" s="101"/>
    </row>
    <row r="9" spans="1:3" ht="15">
      <c r="A9" s="108" t="s">
        <v>70</v>
      </c>
      <c r="B9" s="108"/>
      <c r="C9" s="108"/>
    </row>
    <row r="10" ht="15">
      <c r="A10" s="2"/>
    </row>
    <row r="11" ht="15">
      <c r="A11" s="2"/>
    </row>
    <row r="12" ht="15">
      <c r="A12" s="10" t="s">
        <v>41</v>
      </c>
    </row>
    <row r="13" spans="1:9" ht="15">
      <c r="A13" s="107"/>
      <c r="B13" s="109" t="s">
        <v>130</v>
      </c>
      <c r="C13" s="109"/>
      <c r="D13" s="32"/>
      <c r="E13" s="32"/>
      <c r="F13" s="32"/>
      <c r="G13" s="32"/>
      <c r="H13" s="32"/>
      <c r="I13" s="32"/>
    </row>
    <row r="14" spans="1:9" ht="15">
      <c r="A14" s="107"/>
      <c r="B14" s="110" t="s">
        <v>120</v>
      </c>
      <c r="C14" s="110"/>
      <c r="D14" s="32"/>
      <c r="E14" s="32"/>
      <c r="F14" s="32"/>
      <c r="G14" s="32"/>
      <c r="H14" s="32"/>
      <c r="I14" s="32"/>
    </row>
    <row r="15" spans="1:9" ht="15">
      <c r="A15" s="107"/>
      <c r="B15" s="100" t="s">
        <v>71</v>
      </c>
      <c r="C15" s="100" t="s">
        <v>72</v>
      </c>
      <c r="D15" s="32"/>
      <c r="E15" s="32"/>
      <c r="F15" s="32"/>
      <c r="G15" s="32"/>
      <c r="H15" s="32"/>
      <c r="I15" s="32"/>
    </row>
    <row r="16" spans="1:9" ht="15">
      <c r="A16" s="107"/>
      <c r="B16" s="100"/>
      <c r="C16" s="100"/>
      <c r="D16" s="32"/>
      <c r="E16" s="32"/>
      <c r="F16" s="32"/>
      <c r="G16" s="32"/>
      <c r="H16" s="32"/>
      <c r="I16" s="32"/>
    </row>
    <row r="17" spans="1:9" ht="15">
      <c r="A17" s="58"/>
      <c r="B17" s="75"/>
      <c r="C17" s="75"/>
      <c r="D17" s="32"/>
      <c r="E17" s="32"/>
      <c r="F17" s="32"/>
      <c r="G17" s="32"/>
      <c r="H17" s="32"/>
      <c r="I17" s="32"/>
    </row>
    <row r="18" spans="1:9" ht="15">
      <c r="A18" s="76" t="s">
        <v>86</v>
      </c>
      <c r="B18" s="77"/>
      <c r="C18" s="78"/>
      <c r="D18" s="32"/>
      <c r="E18" s="32"/>
      <c r="F18" s="32"/>
      <c r="G18" s="32"/>
      <c r="H18" s="32"/>
      <c r="I18" s="32"/>
    </row>
    <row r="19" spans="1:9" ht="15">
      <c r="A19" s="57" t="s">
        <v>87</v>
      </c>
      <c r="B19" s="79">
        <f>306901+125542</f>
        <v>432443</v>
      </c>
      <c r="C19" s="80">
        <f>20105+90582</f>
        <v>110687</v>
      </c>
      <c r="D19" s="32"/>
      <c r="E19" s="32"/>
      <c r="F19" s="32"/>
      <c r="G19" s="32"/>
      <c r="H19" s="32"/>
      <c r="I19" s="32"/>
    </row>
    <row r="20" spans="1:9" ht="15">
      <c r="A20" s="57" t="s">
        <v>88</v>
      </c>
      <c r="B20" s="79"/>
      <c r="C20" s="80"/>
      <c r="D20" s="32"/>
      <c r="E20" s="32"/>
      <c r="F20" s="32"/>
      <c r="G20" s="32"/>
      <c r="H20" s="32"/>
      <c r="I20" s="32"/>
    </row>
    <row r="21" spans="1:9" ht="15">
      <c r="A21" s="57" t="s">
        <v>89</v>
      </c>
      <c r="B21" s="80"/>
      <c r="C21" s="80"/>
      <c r="D21" s="32"/>
      <c r="E21" s="32"/>
      <c r="F21" s="32"/>
      <c r="G21" s="32"/>
      <c r="H21" s="32"/>
      <c r="I21" s="32"/>
    </row>
    <row r="22" spans="1:9" ht="15">
      <c r="A22" s="57" t="s">
        <v>90</v>
      </c>
      <c r="B22" s="80"/>
      <c r="C22" s="80"/>
      <c r="D22" s="32"/>
      <c r="E22" s="32"/>
      <c r="F22" s="32"/>
      <c r="G22" s="32"/>
      <c r="H22" s="32"/>
      <c r="I22" s="32"/>
    </row>
    <row r="23" spans="1:9" ht="15">
      <c r="A23" s="57" t="s">
        <v>91</v>
      </c>
      <c r="B23" s="79">
        <f>76297+47942</f>
        <v>124239</v>
      </c>
      <c r="C23" s="80">
        <f>282+3798</f>
        <v>4080</v>
      </c>
      <c r="D23" s="32"/>
      <c r="E23" s="32"/>
      <c r="F23" s="32"/>
      <c r="G23" s="32"/>
      <c r="H23" s="32"/>
      <c r="I23" s="32"/>
    </row>
    <row r="24" spans="1:9" ht="15">
      <c r="A24" s="76" t="s">
        <v>92</v>
      </c>
      <c r="B24" s="82">
        <f>SUM(B18:B23)</f>
        <v>556682</v>
      </c>
      <c r="C24" s="82">
        <f>SUM(C18:C23)</f>
        <v>114767</v>
      </c>
      <c r="D24" s="32"/>
      <c r="E24" s="32"/>
      <c r="F24" s="32"/>
      <c r="G24" s="32"/>
      <c r="H24" s="32"/>
      <c r="I24" s="32"/>
    </row>
    <row r="25" spans="1:9" ht="15">
      <c r="A25" s="57" t="s">
        <v>93</v>
      </c>
      <c r="B25" s="79">
        <v>-212991</v>
      </c>
      <c r="C25" s="80">
        <f>-152810-279190</f>
        <v>-432000</v>
      </c>
      <c r="D25" s="32"/>
      <c r="E25" s="32"/>
      <c r="F25" s="32"/>
      <c r="G25" s="32"/>
      <c r="H25" s="32"/>
      <c r="I25" s="32"/>
    </row>
    <row r="26" spans="1:9" ht="15">
      <c r="A26" s="57" t="s">
        <v>94</v>
      </c>
      <c r="B26" s="79">
        <f>-21637-9495</f>
        <v>-31132</v>
      </c>
      <c r="C26" s="79">
        <f>-6758-5259</f>
        <v>-12017</v>
      </c>
      <c r="D26" s="32"/>
      <c r="E26" s="32"/>
      <c r="F26" s="32"/>
      <c r="G26" s="32"/>
      <c r="H26" s="32"/>
      <c r="I26" s="32"/>
    </row>
    <row r="27" spans="1:9" ht="15">
      <c r="A27" s="57" t="s">
        <v>95</v>
      </c>
      <c r="B27" s="79">
        <f>-11680-4149</f>
        <v>-15829</v>
      </c>
      <c r="C27" s="80">
        <f>-6949-6678</f>
        <v>-13627</v>
      </c>
      <c r="D27" s="32"/>
      <c r="E27" s="32"/>
      <c r="F27" s="32"/>
      <c r="G27" s="81"/>
      <c r="H27" s="32"/>
      <c r="I27" s="32"/>
    </row>
    <row r="28" spans="1:9" ht="15">
      <c r="A28" s="57" t="s">
        <v>96</v>
      </c>
      <c r="B28" s="79">
        <f>-8440-3632</f>
        <v>-12072</v>
      </c>
      <c r="C28" s="80">
        <f>-2805-1902</f>
        <v>-4707</v>
      </c>
      <c r="D28" s="32"/>
      <c r="E28" s="32"/>
      <c r="F28" s="32"/>
      <c r="G28" s="32"/>
      <c r="H28" s="32"/>
      <c r="I28" s="32"/>
    </row>
    <row r="29" spans="1:9" ht="15">
      <c r="A29" s="57" t="s">
        <v>97</v>
      </c>
      <c r="B29" s="79">
        <f>-266-130</f>
        <v>-396</v>
      </c>
      <c r="C29" s="80">
        <f>-190-24</f>
        <v>-214</v>
      </c>
      <c r="D29" s="32"/>
      <c r="E29" s="32"/>
      <c r="F29" s="32"/>
      <c r="G29" s="32"/>
      <c r="H29" s="32"/>
      <c r="I29" s="32"/>
    </row>
    <row r="30" spans="1:9" ht="15">
      <c r="A30" s="57" t="s">
        <v>98</v>
      </c>
      <c r="B30" s="80">
        <f>-75062-47645</f>
        <v>-122707</v>
      </c>
      <c r="C30" s="79">
        <f>-6661-4005</f>
        <v>-10666</v>
      </c>
      <c r="D30" s="32"/>
      <c r="E30" s="32"/>
      <c r="F30" s="32"/>
      <c r="G30" s="32"/>
      <c r="H30" s="32"/>
      <c r="I30" s="32"/>
    </row>
    <row r="31" spans="1:9" ht="15">
      <c r="A31" s="76" t="s">
        <v>99</v>
      </c>
      <c r="B31" s="92">
        <f>SUM(B25:B30)</f>
        <v>-395127</v>
      </c>
      <c r="C31" s="92">
        <f>SUM(C25:C30)</f>
        <v>-473231</v>
      </c>
      <c r="D31" s="32"/>
      <c r="E31" s="32"/>
      <c r="F31" s="32"/>
      <c r="G31" s="32"/>
      <c r="H31" s="32"/>
      <c r="I31" s="32"/>
    </row>
    <row r="32" spans="1:9" ht="15">
      <c r="A32" s="76" t="s">
        <v>100</v>
      </c>
      <c r="B32" s="93">
        <f>B24+B31</f>
        <v>161555</v>
      </c>
      <c r="C32" s="93">
        <f>C24+C31</f>
        <v>-358464</v>
      </c>
      <c r="D32" s="32"/>
      <c r="E32" s="32"/>
      <c r="F32" s="32"/>
      <c r="G32" s="32"/>
      <c r="H32" s="32"/>
      <c r="I32" s="32"/>
    </row>
    <row r="33" spans="1:9" ht="15">
      <c r="A33" s="58"/>
      <c r="B33" s="77"/>
      <c r="C33" s="77"/>
      <c r="D33" s="32"/>
      <c r="E33" s="32"/>
      <c r="F33" s="32"/>
      <c r="G33" s="32"/>
      <c r="H33" s="32"/>
      <c r="I33" s="32"/>
    </row>
    <row r="34" spans="1:9" ht="15">
      <c r="A34" s="76" t="s">
        <v>65</v>
      </c>
      <c r="B34" s="77"/>
      <c r="C34" s="78"/>
      <c r="D34" s="32"/>
      <c r="E34" s="32"/>
      <c r="F34" s="32"/>
      <c r="G34" s="32"/>
      <c r="H34" s="32"/>
      <c r="I34" s="32"/>
    </row>
    <row r="35" spans="1:9" ht="25.5">
      <c r="A35" s="57" t="s">
        <v>66</v>
      </c>
      <c r="B35" s="79"/>
      <c r="C35" s="83">
        <f>10940+4126</f>
        <v>15066</v>
      </c>
      <c r="D35" s="32"/>
      <c r="E35" s="32"/>
      <c r="F35" s="32"/>
      <c r="G35" s="32"/>
      <c r="H35" s="32"/>
      <c r="I35" s="32"/>
    </row>
    <row r="36" spans="1:9" ht="25.5">
      <c r="A36" s="57" t="s">
        <v>101</v>
      </c>
      <c r="B36" s="79">
        <f>13096+10651</f>
        <v>23747</v>
      </c>
      <c r="C36" s="83">
        <f>77511+183823</f>
        <v>261334</v>
      </c>
      <c r="D36" s="32"/>
      <c r="E36" s="32"/>
      <c r="F36" s="32"/>
      <c r="G36" s="32"/>
      <c r="H36" s="32"/>
      <c r="I36" s="32"/>
    </row>
    <row r="37" spans="1:9" ht="15">
      <c r="A37" s="57" t="s">
        <v>91</v>
      </c>
      <c r="B37" s="79"/>
      <c r="C37" s="84"/>
      <c r="D37" s="32"/>
      <c r="E37" s="32"/>
      <c r="F37" s="32"/>
      <c r="G37" s="32"/>
      <c r="H37" s="32"/>
      <c r="I37" s="32"/>
    </row>
    <row r="38" spans="1:9" ht="15">
      <c r="A38" s="76" t="s">
        <v>102</v>
      </c>
      <c r="B38" s="82">
        <f>SUM(B36:B37)</f>
        <v>23747</v>
      </c>
      <c r="C38" s="82">
        <f>SUM(C35:C36)</f>
        <v>276400</v>
      </c>
      <c r="D38" s="32"/>
      <c r="E38" s="32"/>
      <c r="F38" s="32"/>
      <c r="G38" s="32"/>
      <c r="H38" s="32"/>
      <c r="I38" s="32"/>
    </row>
    <row r="39" spans="1:9" ht="15">
      <c r="A39" s="58"/>
      <c r="B39" s="77"/>
      <c r="C39" s="78"/>
      <c r="D39" s="32"/>
      <c r="E39" s="32"/>
      <c r="F39" s="32"/>
      <c r="G39" s="32"/>
      <c r="H39" s="32"/>
      <c r="I39" s="32"/>
    </row>
    <row r="40" spans="1:9" ht="25.5">
      <c r="A40" s="57" t="s">
        <v>103</v>
      </c>
      <c r="B40" s="79">
        <v>-3104</v>
      </c>
      <c r="C40" s="79"/>
      <c r="D40" s="32"/>
      <c r="E40" s="32"/>
      <c r="F40" s="32"/>
      <c r="G40" s="32"/>
      <c r="H40" s="32"/>
      <c r="I40" s="32"/>
    </row>
    <row r="41" spans="1:9" ht="15">
      <c r="A41" s="57" t="s">
        <v>104</v>
      </c>
      <c r="B41" s="79">
        <f>-3466-1819</f>
        <v>-5285</v>
      </c>
      <c r="C41" s="79">
        <v>-1093</v>
      </c>
      <c r="D41" s="32"/>
      <c r="E41" s="32"/>
      <c r="F41" s="32"/>
      <c r="G41" s="32"/>
      <c r="H41" s="32"/>
      <c r="I41" s="32"/>
    </row>
    <row r="42" spans="1:9" ht="15">
      <c r="A42" s="57" t="s">
        <v>98</v>
      </c>
      <c r="B42" s="79">
        <v>-48</v>
      </c>
      <c r="C42" s="79">
        <v>-45</v>
      </c>
      <c r="D42" s="32"/>
      <c r="E42" s="32"/>
      <c r="F42" s="32"/>
      <c r="G42" s="32"/>
      <c r="H42" s="32"/>
      <c r="I42" s="32"/>
    </row>
    <row r="43" spans="1:9" ht="15">
      <c r="A43" s="76" t="s">
        <v>105</v>
      </c>
      <c r="B43" s="82">
        <f>SUM(B40:B42)</f>
        <v>-8437</v>
      </c>
      <c r="C43" s="82">
        <f>SUM(C40:C42)</f>
        <v>-1138</v>
      </c>
      <c r="D43" s="32"/>
      <c r="E43" s="32"/>
      <c r="F43" s="32"/>
      <c r="G43" s="32"/>
      <c r="H43" s="32"/>
      <c r="I43" s="32"/>
    </row>
    <row r="44" spans="1:9" ht="25.5">
      <c r="A44" s="76" t="s">
        <v>67</v>
      </c>
      <c r="B44" s="82">
        <f>B38+B43</f>
        <v>15310</v>
      </c>
      <c r="C44" s="82">
        <f>C38+C43</f>
        <v>275262</v>
      </c>
      <c r="D44" s="32"/>
      <c r="E44" s="32"/>
      <c r="F44" s="32"/>
      <c r="G44" s="32"/>
      <c r="H44" s="32"/>
      <c r="I44" s="32"/>
    </row>
    <row r="45" spans="1:9" ht="15">
      <c r="A45" s="58"/>
      <c r="B45" s="77"/>
      <c r="C45" s="77"/>
      <c r="D45" s="32"/>
      <c r="E45" s="32"/>
      <c r="F45" s="32"/>
      <c r="G45" s="32"/>
      <c r="H45" s="32"/>
      <c r="I45" s="32"/>
    </row>
    <row r="46" spans="1:9" ht="15">
      <c r="A46" s="76" t="s">
        <v>106</v>
      </c>
      <c r="B46" s="77"/>
      <c r="C46" s="78"/>
      <c r="D46" s="32"/>
      <c r="E46" s="32"/>
      <c r="F46" s="32"/>
      <c r="G46" s="32"/>
      <c r="H46" s="32"/>
      <c r="I46" s="32"/>
    </row>
    <row r="47" spans="1:9" ht="15">
      <c r="A47" s="57" t="s">
        <v>68</v>
      </c>
      <c r="B47" s="79"/>
      <c r="C47" s="79">
        <f>15000+40000</f>
        <v>55000</v>
      </c>
      <c r="D47" s="32"/>
      <c r="E47" s="32"/>
      <c r="F47" s="32"/>
      <c r="G47" s="32"/>
      <c r="H47" s="32"/>
      <c r="I47" s="32"/>
    </row>
    <row r="48" spans="1:9" ht="15">
      <c r="A48" s="57" t="s">
        <v>107</v>
      </c>
      <c r="B48" s="79">
        <f>352616+77688</f>
        <v>430304</v>
      </c>
      <c r="C48" s="79">
        <f>318716+196484</f>
        <v>515200</v>
      </c>
      <c r="D48" s="32"/>
      <c r="E48" s="32"/>
      <c r="F48" s="32"/>
      <c r="G48" s="32"/>
      <c r="H48" s="32"/>
      <c r="I48" s="32"/>
    </row>
    <row r="49" spans="1:9" ht="15">
      <c r="A49" s="57" t="s">
        <v>108</v>
      </c>
      <c r="B49" s="79"/>
      <c r="C49" s="80"/>
      <c r="D49" s="32"/>
      <c r="E49" s="32"/>
      <c r="F49" s="32"/>
      <c r="G49" s="32"/>
      <c r="H49" s="32"/>
      <c r="I49" s="32"/>
    </row>
    <row r="50" spans="1:9" ht="15">
      <c r="A50" s="57" t="s">
        <v>109</v>
      </c>
      <c r="B50" s="79">
        <f>344+52555</f>
        <v>52899</v>
      </c>
      <c r="C50" s="80">
        <f>24653+980</f>
        <v>25633</v>
      </c>
      <c r="D50" s="32"/>
      <c r="E50" s="32"/>
      <c r="F50" s="32"/>
      <c r="G50" s="32"/>
      <c r="H50" s="32"/>
      <c r="I50" s="32"/>
    </row>
    <row r="51" spans="1:9" ht="15">
      <c r="A51" s="76" t="s">
        <v>110</v>
      </c>
      <c r="B51" s="82">
        <f>SUM(B47:B50)</f>
        <v>483203</v>
      </c>
      <c r="C51" s="82">
        <f>SUM(C47:C50)</f>
        <v>595833</v>
      </c>
      <c r="D51" s="32"/>
      <c r="E51" s="32"/>
      <c r="F51" s="32"/>
      <c r="G51" s="32"/>
      <c r="H51" s="32"/>
      <c r="I51" s="32"/>
    </row>
    <row r="52" spans="1:9" ht="15">
      <c r="A52" s="57" t="s">
        <v>111</v>
      </c>
      <c r="B52" s="79">
        <f>-372954-135121</f>
        <v>-508075</v>
      </c>
      <c r="C52" s="80">
        <f>-265581-194823</f>
        <v>-460404</v>
      </c>
      <c r="D52" s="32"/>
      <c r="E52" s="32"/>
      <c r="F52" s="32"/>
      <c r="G52" s="32"/>
      <c r="H52" s="32"/>
      <c r="I52" s="32"/>
    </row>
    <row r="53" spans="1:9" ht="15">
      <c r="A53" s="57" t="s">
        <v>112</v>
      </c>
      <c r="B53" s="79"/>
      <c r="C53" s="80" t="s">
        <v>28</v>
      </c>
      <c r="D53" s="32"/>
      <c r="E53" s="32"/>
      <c r="F53" s="32"/>
      <c r="G53" s="32"/>
      <c r="H53" s="32"/>
      <c r="I53" s="32"/>
    </row>
    <row r="54" spans="1:9" ht="15">
      <c r="A54" s="57" t="s">
        <v>113</v>
      </c>
      <c r="B54" s="79">
        <f>-36924-115462</f>
        <v>-152386</v>
      </c>
      <c r="C54" s="80">
        <f>-30647-2</f>
        <v>-30649</v>
      </c>
      <c r="D54" s="32"/>
      <c r="E54" s="32"/>
      <c r="F54" s="32"/>
      <c r="G54" s="32"/>
      <c r="H54" s="32"/>
      <c r="I54" s="32"/>
    </row>
    <row r="55" spans="1:9" ht="15">
      <c r="A55" s="76" t="s">
        <v>114</v>
      </c>
      <c r="B55" s="82">
        <f>SUM(B52:B54)</f>
        <v>-660461</v>
      </c>
      <c r="C55" s="82">
        <f>SUM(C52:C54)</f>
        <v>-491053</v>
      </c>
      <c r="D55" s="32"/>
      <c r="E55" s="32"/>
      <c r="F55" s="32"/>
      <c r="G55" s="32"/>
      <c r="H55" s="32"/>
      <c r="I55" s="32"/>
    </row>
    <row r="56" spans="1:9" ht="23.25" customHeight="1">
      <c r="A56" s="76" t="s">
        <v>115</v>
      </c>
      <c r="B56" s="85">
        <f>B51+B55</f>
        <v>-177258</v>
      </c>
      <c r="C56" s="85">
        <f>C51+C55</f>
        <v>104780</v>
      </c>
      <c r="D56" s="32"/>
      <c r="E56" s="32"/>
      <c r="F56" s="32"/>
      <c r="G56" s="32"/>
      <c r="H56" s="32"/>
      <c r="I56" s="32"/>
    </row>
    <row r="57" spans="1:9" ht="15">
      <c r="A57" s="58"/>
      <c r="B57" s="77"/>
      <c r="C57" s="77"/>
      <c r="D57" s="32"/>
      <c r="E57" s="32"/>
      <c r="F57" s="32"/>
      <c r="G57" s="32"/>
      <c r="H57" s="32"/>
      <c r="I57" s="32"/>
    </row>
    <row r="58" spans="1:9" ht="15">
      <c r="A58" s="76" t="s">
        <v>116</v>
      </c>
      <c r="B58" s="82">
        <f>B32+B44+B56</f>
        <v>-393</v>
      </c>
      <c r="C58" s="82">
        <f>C32+C44+C56</f>
        <v>21578</v>
      </c>
      <c r="D58" s="32"/>
      <c r="E58" s="32"/>
      <c r="F58" s="81"/>
      <c r="G58" s="32"/>
      <c r="H58" s="32"/>
      <c r="I58" s="32"/>
    </row>
    <row r="59" spans="1:9" ht="15">
      <c r="A59" s="57" t="s">
        <v>117</v>
      </c>
      <c r="B59" s="65">
        <v>13876</v>
      </c>
      <c r="C59" s="65">
        <v>25</v>
      </c>
      <c r="D59" s="32"/>
      <c r="E59" s="32"/>
      <c r="F59" s="32"/>
      <c r="G59" s="32"/>
      <c r="H59" s="32"/>
      <c r="I59" s="32"/>
    </row>
    <row r="60" spans="1:9" ht="15">
      <c r="A60" s="57" t="s">
        <v>118</v>
      </c>
      <c r="B60" s="65">
        <f>B59+B58</f>
        <v>13483</v>
      </c>
      <c r="C60" s="65">
        <f>C59+C58</f>
        <v>21603</v>
      </c>
      <c r="D60" s="32"/>
      <c r="E60" s="32"/>
      <c r="F60" s="32"/>
      <c r="G60" s="32"/>
      <c r="H60" s="32"/>
      <c r="I60" s="32"/>
    </row>
    <row r="61" spans="1:9" ht="15">
      <c r="A61" s="57"/>
      <c r="B61" s="86"/>
      <c r="C61" s="86"/>
      <c r="D61" s="32"/>
      <c r="E61" s="32"/>
      <c r="F61" s="32"/>
      <c r="G61" s="32"/>
      <c r="H61" s="32"/>
      <c r="I61" s="32"/>
    </row>
    <row r="62" spans="1:9" ht="15">
      <c r="A62" s="39"/>
      <c r="B62" s="86"/>
      <c r="C62" s="86"/>
      <c r="D62" s="32"/>
      <c r="E62" s="32"/>
      <c r="F62" s="32"/>
      <c r="G62" s="32"/>
      <c r="H62" s="32"/>
      <c r="I62" s="32"/>
    </row>
    <row r="63" spans="1:7" ht="15.75" thickBot="1">
      <c r="A63" s="57" t="s">
        <v>32</v>
      </c>
      <c r="B63" s="87" t="s">
        <v>33</v>
      </c>
      <c r="C63" s="88"/>
      <c r="D63" s="14"/>
      <c r="F63" s="34"/>
      <c r="G63" s="34"/>
    </row>
    <row r="64" spans="1:7" ht="22.5">
      <c r="A64" s="34"/>
      <c r="B64" s="89" t="s">
        <v>34</v>
      </c>
      <c r="C64" s="88"/>
      <c r="D64" s="15" t="s">
        <v>38</v>
      </c>
      <c r="F64" s="34"/>
      <c r="G64" s="34"/>
    </row>
    <row r="65" spans="1:7" ht="15.75" thickBot="1">
      <c r="A65" s="57" t="s">
        <v>35</v>
      </c>
      <c r="B65" s="87" t="s">
        <v>121</v>
      </c>
      <c r="C65" s="88"/>
      <c r="D65" s="14"/>
      <c r="F65" s="57"/>
      <c r="G65" s="57"/>
    </row>
    <row r="66" spans="1:7" ht="22.5">
      <c r="A66" s="34"/>
      <c r="B66" s="89" t="s">
        <v>34</v>
      </c>
      <c r="C66" s="88"/>
      <c r="D66" s="15" t="s">
        <v>38</v>
      </c>
      <c r="F66" s="34"/>
      <c r="G66" s="34"/>
    </row>
    <row r="67" spans="1:9" ht="15">
      <c r="A67" s="32"/>
      <c r="B67" s="86"/>
      <c r="C67" s="86"/>
      <c r="D67" s="32"/>
      <c r="E67" s="32"/>
      <c r="F67" s="32"/>
      <c r="G67" s="32"/>
      <c r="H67" s="32"/>
      <c r="I67" s="32"/>
    </row>
    <row r="68" spans="1:9" ht="15">
      <c r="A68" s="32"/>
      <c r="B68" s="86"/>
      <c r="C68" s="86"/>
      <c r="D68" s="32"/>
      <c r="E68" s="32"/>
      <c r="F68" s="32"/>
      <c r="G68" s="32"/>
      <c r="H68" s="32"/>
      <c r="I68" s="32"/>
    </row>
    <row r="69" spans="1:3" ht="15">
      <c r="A69" s="16" t="s">
        <v>125</v>
      </c>
      <c r="B69" s="90"/>
      <c r="C69" s="90"/>
    </row>
    <row r="70" spans="1:9" ht="15">
      <c r="A70" s="32"/>
      <c r="B70" s="86"/>
      <c r="C70" s="86"/>
      <c r="D70" s="32"/>
      <c r="E70" s="32"/>
      <c r="F70" s="32"/>
      <c r="G70" s="32"/>
      <c r="H70" s="32"/>
      <c r="I70" s="32"/>
    </row>
  </sheetData>
  <sheetProtection/>
  <mergeCells count="9">
    <mergeCell ref="A15:A16"/>
    <mergeCell ref="B15:B16"/>
    <mergeCell ref="C15:C16"/>
    <mergeCell ref="A7:C7"/>
    <mergeCell ref="A8:C8"/>
    <mergeCell ref="A9:C9"/>
    <mergeCell ref="A13:A14"/>
    <mergeCell ref="B13:C13"/>
    <mergeCell ref="B14:C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2022-10-31T22:00:34Z</dcterms:modified>
  <cp:category/>
  <cp:version/>
  <cp:contentType/>
  <cp:contentStatus/>
</cp:coreProperties>
</file>