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105" windowHeight="9555" activeTab="0"/>
  </bookViews>
  <sheets>
    <sheet name="Баланс" sheetId="1" r:id="rId1"/>
    <sheet name="фхд" sheetId="2" r:id="rId2"/>
    <sheet name="капитал" sheetId="3" r:id="rId3"/>
    <sheet name="оддс" sheetId="4" r:id="rId4"/>
  </sheets>
  <externalReferences>
    <externalReference r:id="rId7"/>
    <externalReference r:id="rId8"/>
    <externalReference r:id="rId9"/>
  </externalReferences>
  <definedNames>
    <definedName name="AS2DocOpenMode" hidden="1">"AS2DocumentEdit"</definedName>
    <definedName name="AS2DocOpenMode_1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bnjh" localSheetId="0" hidden="1">{#N/A,#N/A,FALSE,"Aging Summary";#N/A,#N/A,FALSE,"Ratio Analysis";#N/A,#N/A,FALSE,"Test 120 Day Accts";#N/A,#N/A,FALSE,"Tickmarks"}</definedName>
    <definedName name="bnjh" localSheetId="2" hidden="1">{#N/A,#N/A,FALSE,"Aging Summary";#N/A,#N/A,FALSE,"Ratio Analysis";#N/A,#N/A,FALSE,"Test 120 Day Accts";#N/A,#N/A,FALSE,"Tickmarks"}</definedName>
    <definedName name="bnjh" localSheetId="3" hidden="1">{#N/A,#N/A,FALSE,"Aging Summary";#N/A,#N/A,FALSE,"Ratio Analysis";#N/A,#N/A,FALSE,"Test 120 Day Accts";#N/A,#N/A,FALSE,"Tickmarks"}</definedName>
    <definedName name="bnjh" localSheetId="1" hidden="1">{#N/A,#N/A,FALSE,"Aging Summary";#N/A,#N/A,FALSE,"Ratio Analysis";#N/A,#N/A,FALSE,"Test 120 Day Accts";#N/A,#N/A,FALSE,"Tickmarks"}</definedName>
    <definedName name="bnjh" hidden="1">{#N/A,#N/A,FALSE,"Aging Summary";#N/A,#N/A,FALSE,"Ratio Analysis";#N/A,#N/A,FALSE,"Test 120 Day Accts";#N/A,#N/A,FALSE,"Tickmarks"}</definedName>
    <definedName name="OLE_LINK8" localSheetId="3">'оддс'!$A$6</definedName>
    <definedName name="TextRefCopyRangeCount" hidden="1">54</definedName>
    <definedName name="TextRefCopyRangeCount_1" hidden="1">2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._1" localSheetId="0" hidden="1">{#N/A,#N/A,FALSE,"Aging Summary";#N/A,#N/A,FALSE,"Ratio Analysis";#N/A,#N/A,FALSE,"Test 120 Day Accts";#N/A,#N/A,FALSE,"Tickmarks"}</definedName>
    <definedName name="wrn.Aging._.and._.Trend._.Analysis._1" localSheetId="2" hidden="1">{#N/A,#N/A,FALSE,"Aging Summary";#N/A,#N/A,FALSE,"Ratio Analysis";#N/A,#N/A,FALSE,"Test 120 Day Accts";#N/A,#N/A,FALSE,"Tickmarks"}</definedName>
    <definedName name="wrn.Aging._.and._.Trend._.Analysis._1" localSheetId="3" hidden="1">{#N/A,#N/A,FALSE,"Aging Summary";#N/A,#N/A,FALSE,"Ratio Analysis";#N/A,#N/A,FALSE,"Test 120 Day Accts";#N/A,#N/A,FALSE,"Tickmarks"}</definedName>
    <definedName name="wrn.Aging._.and._.Trend._.Analysis._1" localSheetId="1" hidden="1">{#N/A,#N/A,FALSE,"Aging Summary";#N/A,#N/A,FALSE,"Ratio Analysis";#N/A,#N/A,FALSE,"Test 120 Day Accts";#N/A,#N/A,FALSE,"Tickmarks"}</definedName>
    <definedName name="wrn.Aging._.and._.Trend._.Analysis._1" hidden="1">{#N/A,#N/A,FALSE,"Aging Summary";#N/A,#N/A,FALSE,"Ratio Analysis";#N/A,#N/A,FALSE,"Test 120 Day Accts";#N/A,#N/A,FALSE,"Tickmarks"}</definedName>
    <definedName name="XREF_COLUMN_1" hidden="1">'[1]DIT'!#REF!</definedName>
    <definedName name="XREF_COLUMN_2" hidden="1">'[2]Analysis COP'!#REF!</definedName>
    <definedName name="XRefActiveRow" hidden="1">#REF!</definedName>
    <definedName name="XRefColumnsCount" hidden="1">1</definedName>
    <definedName name="XRefCopy1Row" hidden="1">'[2]XREF'!#REF!</definedName>
    <definedName name="XRefCopy2Row" hidden="1">#REF!</definedName>
    <definedName name="XRefCopyRangeCount" hidden="1">3</definedName>
    <definedName name="XRefPaste2Row" hidden="1">'[2]XREF'!#REF!</definedName>
    <definedName name="XRefPasteRangeCount" hidden="1">3</definedName>
    <definedName name="люба" localSheetId="0" hidden="1">{#N/A,#N/A,FALSE,"Aging Summary";#N/A,#N/A,FALSE,"Ratio Analysis";#N/A,#N/A,FALSE,"Test 120 Day Accts";#N/A,#N/A,FALSE,"Tickmarks"}</definedName>
    <definedName name="люба" localSheetId="2" hidden="1">{#N/A,#N/A,FALSE,"Aging Summary";#N/A,#N/A,FALSE,"Ratio Analysis";#N/A,#N/A,FALSE,"Test 120 Day Accts";#N/A,#N/A,FALSE,"Tickmarks"}</definedName>
    <definedName name="люба" localSheetId="3" hidden="1">{#N/A,#N/A,FALSE,"Aging Summary";#N/A,#N/A,FALSE,"Ratio Analysis";#N/A,#N/A,FALSE,"Test 120 Day Accts";#N/A,#N/A,FALSE,"Tickmarks"}</definedName>
    <definedName name="люба" localSheetId="1" hidden="1">{#N/A,#N/A,FALSE,"Aging Summary";#N/A,#N/A,FALSE,"Ratio Analysis";#N/A,#N/A,FALSE,"Test 120 Day Accts";#N/A,#N/A,FALSE,"Tickmarks"}</definedName>
    <definedName name="люба" hidden="1">{#N/A,#N/A,FALSE,"Aging Summary";#N/A,#N/A,FALSE,"Ratio Analysis";#N/A,#N/A,FALSE,"Test 120 Day Accts";#N/A,#N/A,FALSE,"Tickmarks"}</definedName>
    <definedName name="рпгпшо" localSheetId="0" hidden="1">{#N/A,#N/A,FALSE,"Aging Summary";#N/A,#N/A,FALSE,"Ratio Analysis";#N/A,#N/A,FALSE,"Test 120 Day Accts";#N/A,#N/A,FALSE,"Tickmarks"}</definedName>
    <definedName name="рпгпшо" localSheetId="2" hidden="1">{#N/A,#N/A,FALSE,"Aging Summary";#N/A,#N/A,FALSE,"Ratio Analysis";#N/A,#N/A,FALSE,"Test 120 Day Accts";#N/A,#N/A,FALSE,"Tickmarks"}</definedName>
    <definedName name="рпгпшо" localSheetId="3" hidden="1">{#N/A,#N/A,FALSE,"Aging Summary";#N/A,#N/A,FALSE,"Ratio Analysis";#N/A,#N/A,FALSE,"Test 120 Day Accts";#N/A,#N/A,FALSE,"Tickmarks"}</definedName>
    <definedName name="рпгпшо" localSheetId="1" hidden="1">{#N/A,#N/A,FALSE,"Aging Summary";#N/A,#N/A,FALSE,"Ratio Analysis";#N/A,#N/A,FALSE,"Test 120 Day Accts";#N/A,#N/A,FALSE,"Tickmarks"}</definedName>
    <definedName name="рпгпшо" hidden="1">{#N/A,#N/A,FALSE,"Aging Summary";#N/A,#N/A,FALSE,"Ratio Analysis";#N/A,#N/A,FALSE,"Test 120 Day Accts";#N/A,#N/A,FALSE,"Tickmarks"}</definedName>
    <definedName name="рпргшг9" localSheetId="0" hidden="1">{#N/A,#N/A,FALSE,"Aging Summary";#N/A,#N/A,FALSE,"Ratio Analysis";#N/A,#N/A,FALSE,"Test 120 Day Accts";#N/A,#N/A,FALSE,"Tickmarks"}</definedName>
    <definedName name="рпргшг9" localSheetId="2" hidden="1">{#N/A,#N/A,FALSE,"Aging Summary";#N/A,#N/A,FALSE,"Ratio Analysis";#N/A,#N/A,FALSE,"Test 120 Day Accts";#N/A,#N/A,FALSE,"Tickmarks"}</definedName>
    <definedName name="рпргшг9" localSheetId="3" hidden="1">{#N/A,#N/A,FALSE,"Aging Summary";#N/A,#N/A,FALSE,"Ratio Analysis";#N/A,#N/A,FALSE,"Test 120 Day Accts";#N/A,#N/A,FALSE,"Tickmarks"}</definedName>
    <definedName name="рпргшг9" localSheetId="1" hidden="1">{#N/A,#N/A,FALSE,"Aging Summary";#N/A,#N/A,FALSE,"Ratio Analysis";#N/A,#N/A,FALSE,"Test 120 Day Accts";#N/A,#N/A,FALSE,"Tickmarks"}</definedName>
    <definedName name="рпргшг9" hidden="1">{#N/A,#N/A,FALSE,"Aging Summary";#N/A,#N/A,FALSE,"Ratio Analysis";#N/A,#N/A,FALSE,"Test 120 Day Accts";#N/A,#N/A,FALSE,"Tickmarks"}</definedName>
    <definedName name="юля" localSheetId="0" hidden="1">{#N/A,#N/A,FALSE,"Aging Summary";#N/A,#N/A,FALSE,"Ratio Analysis";#N/A,#N/A,FALSE,"Test 120 Day Accts";#N/A,#N/A,FALSE,"Tickmarks"}</definedName>
    <definedName name="юля" localSheetId="2" hidden="1">{#N/A,#N/A,FALSE,"Aging Summary";#N/A,#N/A,FALSE,"Ratio Analysis";#N/A,#N/A,FALSE,"Test 120 Day Accts";#N/A,#N/A,FALSE,"Tickmarks"}</definedName>
    <definedName name="юля" localSheetId="3" hidden="1">{#N/A,#N/A,FALSE,"Aging Summary";#N/A,#N/A,FALSE,"Ratio Analysis";#N/A,#N/A,FALSE,"Test 120 Day Accts";#N/A,#N/A,FALSE,"Tickmarks"}</definedName>
    <definedName name="юля" localSheetId="1" hidden="1">{#N/A,#N/A,FALSE,"Aging Summary";#N/A,#N/A,FALSE,"Ratio Analysis";#N/A,#N/A,FALSE,"Test 120 Day Accts";#N/A,#N/A,FALSE,"Tickmarks"}</definedName>
    <definedName name="юля" hidden="1">{#N/A,#N/A,FALSE,"Aging Summary";#N/A,#N/A,FALSE,"Ratio Analysis";#N/A,#N/A,FALSE,"Test 120 Day Accts";#N/A,#N/A,FALSE,"Tickmarks"}</definedName>
  </definedNames>
  <calcPr fullCalcOnLoad="1"/>
</workbook>
</file>

<file path=xl/sharedStrings.xml><?xml version="1.0" encoding="utf-8"?>
<sst xmlns="http://schemas.openxmlformats.org/spreadsheetml/2006/main" count="123" uniqueCount="118">
  <si>
    <t>Отчет о финансовом положении</t>
  </si>
  <si>
    <t>АКТИВЫ</t>
  </si>
  <si>
    <t>Основные средства</t>
  </si>
  <si>
    <t>Нематериальные активы</t>
  </si>
  <si>
    <t>Инвестиции в совместное предприятие и ассоциированную компанию</t>
  </si>
  <si>
    <t>Прочие долгосрочные активы</t>
  </si>
  <si>
    <t>Итого долгосрочные активы</t>
  </si>
  <si>
    <t xml:space="preserve">Товарно-материальные запасы </t>
  </si>
  <si>
    <t xml:space="preserve">Торговая и прочая дебиторская задолженность </t>
  </si>
  <si>
    <t>Переплата по подоходному налогу</t>
  </si>
  <si>
    <t xml:space="preserve">Налог на добавленную стоимость и прочие налоги к возмещению </t>
  </si>
  <si>
    <t>Денежные средства и их эквиваленты</t>
  </si>
  <si>
    <t>Итого краткосрочные активы</t>
  </si>
  <si>
    <t>Итого активы</t>
  </si>
  <si>
    <t>СОБСТВЕННЫЙ КАПИТАЛ И ОБЯЗАТЕЛЬСТВА</t>
  </si>
  <si>
    <t>Собственный капитал:</t>
  </si>
  <si>
    <t xml:space="preserve">Акционерный капитал </t>
  </si>
  <si>
    <t xml:space="preserve">Дополнительный оплаченный капитал </t>
  </si>
  <si>
    <t>Прочий резервный капитал</t>
  </si>
  <si>
    <t>Нераспределенная прибыль</t>
  </si>
  <si>
    <t>Итого собственный капитал</t>
  </si>
  <si>
    <t>Обязательства по отсроченному подоходному налогу</t>
  </si>
  <si>
    <t>Долгосрочная кредиторская задолженность</t>
  </si>
  <si>
    <t>Итого долгосрочные обязательства</t>
  </si>
  <si>
    <t>Краткосрочные обязательства:</t>
  </si>
  <si>
    <t>Кредиторская задолженность</t>
  </si>
  <si>
    <t xml:space="preserve">Текущие налоговые обязательства </t>
  </si>
  <si>
    <t>Итого краткосрочные обязательства</t>
  </si>
  <si>
    <t>Итого обязательства</t>
  </si>
  <si>
    <t>Итого собственный капитал и обязательства</t>
  </si>
  <si>
    <r>
      <t>Долгосрочные обязательства:</t>
    </r>
    <r>
      <rPr>
        <sz val="9"/>
        <rFont val="Arial"/>
        <family val="2"/>
      </rPr>
      <t xml:space="preserve"> </t>
    </r>
  </si>
  <si>
    <t>Отчет о прибылях или убытках и прочем совокупном доходе</t>
  </si>
  <si>
    <t>Выручка</t>
  </si>
  <si>
    <t>Себестоимость реализации</t>
  </si>
  <si>
    <t>Валовая прибыль</t>
  </si>
  <si>
    <t>Общие и административные расходы</t>
  </si>
  <si>
    <t>Расходы по реализации</t>
  </si>
  <si>
    <t>Операционная прибыль</t>
  </si>
  <si>
    <t>Финансовые доходы</t>
  </si>
  <si>
    <t>Финансовые расходы</t>
  </si>
  <si>
    <t>Доля в результате совместных предприятий и ассоциированных компаний</t>
  </si>
  <si>
    <t>Прибыль до налогообложения</t>
  </si>
  <si>
    <t>Расходы по подоходному налогу</t>
  </si>
  <si>
    <t>ПРИБЫЛЬ ЗА ГОД</t>
  </si>
  <si>
    <t>Прочий совокупный доход</t>
  </si>
  <si>
    <t>Статьи, которые впоследствии не будут реклассифицированы в состав прибылей или убытков</t>
  </si>
  <si>
    <t>ИТОГО СОВОКУПНЫЙ ДОХОД ЗА ГОД</t>
  </si>
  <si>
    <t>Простые акции</t>
  </si>
  <si>
    <t>Отчет об изменениях капитала</t>
  </si>
  <si>
    <t>(в тысячах тенге)</t>
  </si>
  <si>
    <t>Уставный капитал</t>
  </si>
  <si>
    <t>Дополни-
тельный
оплаченный
капитал</t>
  </si>
  <si>
    <t>Нераспределенная
прибыль</t>
  </si>
  <si>
    <t>Итого</t>
  </si>
  <si>
    <t>Пересчет</t>
  </si>
  <si>
    <t>Дивиденды</t>
  </si>
  <si>
    <t>Прочий совокупный доход за год</t>
  </si>
  <si>
    <t>Итого совокупный доход за год</t>
  </si>
  <si>
    <t>Отчет о движении денежных средств</t>
  </si>
  <si>
    <t>В тысячах казахстанских тенге</t>
  </si>
  <si>
    <t>Операционная деятельность</t>
  </si>
  <si>
    <t>Поступление денежных средств от операционной деятельности:</t>
  </si>
  <si>
    <t>Реализация готовой продукции</t>
  </si>
  <si>
    <t>Авансы полученные</t>
  </si>
  <si>
    <t>Выбытие денежных средств от операционной деятельности:</t>
  </si>
  <si>
    <t>Платежи поставщикам и подрядчикам</t>
  </si>
  <si>
    <t>Выплаты по заработной плате</t>
  </si>
  <si>
    <t>Расчеты с бюджетом</t>
  </si>
  <si>
    <t>Авансы выданные</t>
  </si>
  <si>
    <t>Выплаты вознаграждения по займам</t>
  </si>
  <si>
    <t>Прочие</t>
  </si>
  <si>
    <t>Чистые денежные средства, полученные</t>
  </si>
  <si>
    <t>от операционной деятельности</t>
  </si>
  <si>
    <t>Инвестиционная деятельность</t>
  </si>
  <si>
    <t>Приобретение основных средств</t>
  </si>
  <si>
    <t>Чистые денежные средства, использованные в инвестиционной деятельности</t>
  </si>
  <si>
    <t>Финансовая деятельность</t>
  </si>
  <si>
    <t>Получение займов</t>
  </si>
  <si>
    <t>Погашение займов</t>
  </si>
  <si>
    <t>Выплата дивидендов</t>
  </si>
  <si>
    <t>Чистые денежные средства, полученные от /</t>
  </si>
  <si>
    <t>(использованные в) финансовой деятельности</t>
  </si>
  <si>
    <t>Чистое (уменьшение)/увеличение денежных средств и их эквивалентов</t>
  </si>
  <si>
    <t>Денежные средства и их эквиваленты на начало года</t>
  </si>
  <si>
    <t>Денежные средства и их эквиваленты на конец года</t>
  </si>
  <si>
    <t>Займы</t>
  </si>
  <si>
    <t>Резерв на рекультивацию</t>
  </si>
  <si>
    <t>Обязательства по вознаграждению работников</t>
  </si>
  <si>
    <t>Обязательства по вознаграждениям работникам</t>
  </si>
  <si>
    <t xml:space="preserve">Прочий совокупный доход за год </t>
  </si>
  <si>
    <t xml:space="preserve">Прибыль за год </t>
  </si>
  <si>
    <t>-</t>
  </si>
  <si>
    <t xml:space="preserve">Балансовая стоимость простой акции, тенге
</t>
  </si>
  <si>
    <t>Балансовая стоимость привилегированной акции, тенге</t>
  </si>
  <si>
    <t>Прочие резервы</t>
  </si>
  <si>
    <t>Резерв по переоценке валюты</t>
  </si>
  <si>
    <t>Прочие операционные доходы</t>
  </si>
  <si>
    <t>Прочий совокупный доход/(убыток)</t>
  </si>
  <si>
    <t>Резерв по пересчету иностранной валюты</t>
  </si>
  <si>
    <t>Возмещение убытков от поставщиков</t>
  </si>
  <si>
    <t>Возмещение НДС с бюджета</t>
  </si>
  <si>
    <t>Дебиторская задолженность</t>
  </si>
  <si>
    <t>Прочие операционные  расходы</t>
  </si>
  <si>
    <t>31 декабря  2017г.</t>
  </si>
  <si>
    <t>Доход/убыток от курсовой разницы</t>
  </si>
  <si>
    <t xml:space="preserve"> Совокупный доход за год</t>
  </si>
  <si>
    <t>Прибыль на акцию, базовая и разводненая (в тенге на акцию)</t>
  </si>
  <si>
    <t xml:space="preserve">На 1 января 2017 г. </t>
  </si>
  <si>
    <t>На 31 декабря 2017 г. (отражено ранее)</t>
  </si>
  <si>
    <t>На 31 декабря 2017 года (пересчитано)</t>
  </si>
  <si>
    <t>Уменьшение/(увеличение) денежных средств, ограниченных в использовании</t>
  </si>
  <si>
    <t>30 июня  2018 г.</t>
  </si>
  <si>
    <t>30 июня  2017</t>
  </si>
  <si>
    <t>30 июня               2018</t>
  </si>
  <si>
    <t>Прибыль за 1 полугодие 2018 года</t>
  </si>
  <si>
    <t>На  30 июня 2018 г.</t>
  </si>
  <si>
    <t>30 июня 2017 г</t>
  </si>
  <si>
    <t>30 июня  2018 г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</si>
</sst>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* #,##0.00_);_(* \(#,##0.00\);_(* &quot;-&quot;??_);_(@_)"/>
    <numFmt numFmtId="166" formatCode="_ * #,##0.00_ ;_ * \-#,##0.00_ ;_ * &quot;-&quot;??_ ;_ @_ "/>
    <numFmt numFmtId="167" formatCode="_ * #,##0.0_ ;_ * \-#,##0.0_ ;_ * &quot;-&quot;??_ ;_ @_ "/>
    <numFmt numFmtId="168" formatCode="_(* #,##0_);_(* \(#,##0\);_(* &quot;-&quot;??_);_(@_)"/>
    <numFmt numFmtId="169" formatCode="_(\ #,##0.00_);\(\ #,##0.00\);_(* &quot;-&quot;_)"/>
    <numFmt numFmtId="170" formatCode="_(\ #,##0.00_);\(\ #,##0.00\)"/>
    <numFmt numFmtId="171" formatCode="* \(#,##0\);* #,##0_);&quot;-&quot;??_);@"/>
    <numFmt numFmtId="172" formatCode="* #,##0_);* \(#,##0\);&quot;-&quot;??_);@"/>
    <numFmt numFmtId="173" formatCode="0%_);\(0%\)"/>
    <numFmt numFmtId="174" formatCode="_-* #,##0\ _$_-;\-* #,##0\ _$_-;_-* &quot;-&quot;\ _$_-;_-@_-"/>
    <numFmt numFmtId="175" formatCode="_-* #,##0.00\ _$_-;\-* #,##0.00\ _$_-;_-* &quot;-&quot;??\ _$_-;_-@_-"/>
    <numFmt numFmtId="176" formatCode="_(* #,##0.00_);_(* \(#,##0.00\);_(* &quot;-&quot;_);_(@_)"/>
    <numFmt numFmtId="177" formatCode="_-* #,##0_р_._-;\-* #,##0_р_._-;_-* &quot;-&quot;??_р_._-;_-@_-"/>
    <numFmt numFmtId="178" formatCode="_ * #,##0_ ;_ * \-#,##0_ ;_ * &quot;-&quot;??_ ;_ @_ 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&quot; &quot;;\-#,##0&quot; &quot;"/>
    <numFmt numFmtId="184" formatCode="#,##0&quot; &quot;;[Red]\-#,##0&quot; &quot;"/>
    <numFmt numFmtId="185" formatCode="#,##0.00&quot; &quot;;\-#,##0.00&quot; &quot;"/>
    <numFmt numFmtId="186" formatCode="#,##0.00&quot; &quot;;[Red]\-#,##0.00&quot; &quot;"/>
    <numFmt numFmtId="187" formatCode="_-* #,##0&quot; &quot;_-;\-* #,##0&quot; &quot;_-;_-* &quot;-&quot;&quot; &quot;_-;_-@_-"/>
    <numFmt numFmtId="188" formatCode="_-* #,##0_ _-;\-* #,##0_ _-;_-* &quot;-&quot;_ _-;_-@_-"/>
    <numFmt numFmtId="189" formatCode="_-* #,##0.00&quot; &quot;_-;\-* #,##0.00&quot; &quot;_-;_-* &quot;-&quot;??&quot; &quot;_-;_-@_-"/>
    <numFmt numFmtId="190" formatCode="_-* #,##0.00_ _-;\-* #,##0.00_ _-;_-* &quot;-&quot;??_ _-;_-@_-"/>
    <numFmt numFmtId="191" formatCode="#,##0.0"/>
    <numFmt numFmtId="192" formatCode="0.000000"/>
    <numFmt numFmtId="193" formatCode="0.00000"/>
    <numFmt numFmtId="194" formatCode="0.0000"/>
    <numFmt numFmtId="195" formatCode="0.000"/>
    <numFmt numFmtId="196" formatCode="0.0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dddd\,\ mmmm\ dd\,\ yyyy"/>
    <numFmt numFmtId="204" formatCode="_ * #,##0.000_ ;_ * \-#,##0.000_ ;_ * &quot;-&quot;??_ ;_ @_ "/>
    <numFmt numFmtId="205" formatCode="_ * #,##0.0000_ ;_ * \-#,##0.0000_ ;_ * &quot;-&quot;??_ ;_ @_ "/>
    <numFmt numFmtId="206" formatCode="_(* #,##0.0_);_(* \(#,##0.0\);_(* &quot;-&quot;??_);_(@_)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name val="Univers"/>
      <family val="2"/>
    </font>
    <font>
      <b/>
      <sz val="10"/>
      <color indexed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1"/>
      <color indexed="12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3"/>
      <name val="Arial"/>
      <family val="2"/>
    </font>
    <font>
      <b/>
      <sz val="3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sz val="9"/>
      <color theme="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ck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5" fillId="0" borderId="0" applyFill="0" applyBorder="0" applyProtection="0">
      <alignment/>
    </xf>
    <xf numFmtId="171" fontId="5" fillId="0" borderId="1" applyFill="0" applyProtection="0">
      <alignment/>
    </xf>
    <xf numFmtId="171" fontId="5" fillId="0" borderId="2" applyFill="0" applyProtection="0">
      <alignment/>
    </xf>
    <xf numFmtId="172" fontId="5" fillId="0" borderId="0" applyFill="0" applyBorder="0" applyProtection="0">
      <alignment/>
    </xf>
    <xf numFmtId="172" fontId="5" fillId="0" borderId="1" applyFill="0" applyProtection="0">
      <alignment/>
    </xf>
    <xf numFmtId="172" fontId="5" fillId="0" borderId="2" applyFill="0" applyProtection="0">
      <alignment/>
    </xf>
    <xf numFmtId="14" fontId="6" fillId="6" borderId="3">
      <alignment horizontal="center" vertical="center" wrapText="1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0" fillId="0" borderId="0" applyFont="0" applyFill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8" fillId="0" borderId="0" applyFill="0" applyBorder="0" applyProtection="0">
      <alignment horizontal="left" vertical="top"/>
    </xf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9" fillId="7" borderId="4" applyNumberFormat="0" applyAlignment="0" applyProtection="0"/>
    <xf numFmtId="0" fontId="10" fillId="15" borderId="5" applyNumberFormat="0" applyAlignment="0" applyProtection="0"/>
    <xf numFmtId="0" fontId="11" fillId="15" borderId="4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0" fillId="0" borderId="0">
      <alignment/>
      <protection/>
    </xf>
    <xf numFmtId="0" fontId="17" fillId="16" borderId="10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11" applyNumberFormat="0" applyFont="0" applyAlignment="0" applyProtection="0"/>
    <xf numFmtId="9" fontId="0" fillId="0" borderId="0" applyFont="0" applyFill="0" applyBorder="0" applyAlignment="0" applyProtection="0"/>
    <xf numFmtId="0" fontId="23" fillId="0" borderId="12" applyNumberFormat="0" applyFill="0" applyAlignment="0" applyProtection="0"/>
    <xf numFmtId="0" fontId="23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6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87">
    <xf numFmtId="0" fontId="0" fillId="0" borderId="0" xfId="0" applyAlignment="1">
      <alignment/>
    </xf>
    <xf numFmtId="0" fontId="28" fillId="0" borderId="0" xfId="0" applyNumberFormat="1" applyFont="1" applyAlignment="1">
      <alignment wrapText="1"/>
    </xf>
    <xf numFmtId="164" fontId="0" fillId="0" borderId="0" xfId="0" applyNumberFormat="1" applyFill="1" applyAlignment="1">
      <alignment/>
    </xf>
    <xf numFmtId="164" fontId="30" fillId="0" borderId="0" xfId="0" applyNumberFormat="1" applyFont="1" applyFill="1" applyAlignment="1">
      <alignment vertical="center"/>
    </xf>
    <xf numFmtId="164" fontId="27" fillId="0" borderId="0" xfId="0" applyNumberFormat="1" applyFont="1" applyFill="1" applyAlignment="1">
      <alignment vertical="center"/>
    </xf>
    <xf numFmtId="164" fontId="31" fillId="0" borderId="3" xfId="0" applyNumberFormat="1" applyFont="1" applyFill="1" applyBorder="1" applyAlignment="1">
      <alignment vertical="center"/>
    </xf>
    <xf numFmtId="164" fontId="31" fillId="0" borderId="0" xfId="0" applyNumberFormat="1" applyFont="1" applyFill="1" applyAlignment="1">
      <alignment/>
    </xf>
    <xf numFmtId="164" fontId="32" fillId="0" borderId="3" xfId="0" applyNumberFormat="1" applyFont="1" applyFill="1" applyBorder="1" applyAlignment="1">
      <alignment vertical="center"/>
    </xf>
    <xf numFmtId="164" fontId="31" fillId="0" borderId="13" xfId="0" applyNumberFormat="1" applyFont="1" applyFill="1" applyBorder="1" applyAlignment="1">
      <alignment vertical="center"/>
    </xf>
    <xf numFmtId="164" fontId="33" fillId="0" borderId="0" xfId="0" applyNumberFormat="1" applyFont="1" applyFill="1" applyAlignment="1">
      <alignment vertical="center"/>
    </xf>
    <xf numFmtId="0" fontId="30" fillId="0" borderId="3" xfId="0" applyNumberFormat="1" applyFont="1" applyFill="1" applyBorder="1" applyAlignment="1">
      <alignment horizontal="right" vertical="center" wrapText="1"/>
    </xf>
    <xf numFmtId="164" fontId="26" fillId="0" borderId="0" xfId="0" applyNumberFormat="1" applyFont="1" applyFill="1" applyBorder="1" applyAlignment="1">
      <alignment vertical="center"/>
    </xf>
    <xf numFmtId="164" fontId="27" fillId="0" borderId="0" xfId="0" applyNumberFormat="1" applyFont="1" applyFill="1" applyBorder="1" applyAlignment="1">
      <alignment vertical="center"/>
    </xf>
    <xf numFmtId="164" fontId="27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wrapText="1"/>
    </xf>
    <xf numFmtId="164" fontId="27" fillId="0" borderId="0" xfId="0" applyNumberFormat="1" applyFont="1" applyAlignment="1">
      <alignment/>
    </xf>
    <xf numFmtId="164" fontId="33" fillId="0" borderId="3" xfId="0" applyNumberFormat="1" applyFont="1" applyBorder="1" applyAlignment="1">
      <alignment vertical="center" wrapText="1"/>
    </xf>
    <xf numFmtId="164" fontId="30" fillId="0" borderId="3" xfId="0" applyNumberFormat="1" applyFont="1" applyBorder="1" applyAlignment="1">
      <alignment horizontal="right" wrapText="1"/>
    </xf>
    <xf numFmtId="164" fontId="30" fillId="0" borderId="3" xfId="0" applyNumberFormat="1" applyFont="1" applyBorder="1" applyAlignment="1">
      <alignment horizontal="right" vertical="center" wrapText="1"/>
    </xf>
    <xf numFmtId="164" fontId="30" fillId="0" borderId="0" xfId="0" applyNumberFormat="1" applyFont="1" applyAlignment="1">
      <alignment vertical="center" wrapText="1"/>
    </xf>
    <xf numFmtId="164" fontId="27" fillId="0" borderId="0" xfId="0" applyNumberFormat="1" applyFont="1" applyAlignment="1">
      <alignment vertical="center" wrapText="1"/>
    </xf>
    <xf numFmtId="164" fontId="32" fillId="0" borderId="0" xfId="0" applyNumberFormat="1" applyFont="1" applyAlignment="1">
      <alignment vertical="center" wrapText="1"/>
    </xf>
    <xf numFmtId="164" fontId="31" fillId="0" borderId="0" xfId="0" applyNumberFormat="1" applyFont="1" applyAlignment="1">
      <alignment vertical="center" wrapText="1"/>
    </xf>
    <xf numFmtId="164" fontId="31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1" fillId="0" borderId="3" xfId="0" applyNumberFormat="1" applyFont="1" applyBorder="1" applyAlignment="1">
      <alignment vertical="center" wrapText="1"/>
    </xf>
    <xf numFmtId="164" fontId="27" fillId="0" borderId="0" xfId="0" applyNumberFormat="1" applyFont="1" applyAlignment="1">
      <alignment vertical="center"/>
    </xf>
    <xf numFmtId="164" fontId="34" fillId="0" borderId="0" xfId="0" applyNumberFormat="1" applyFont="1" applyAlignment="1">
      <alignment/>
    </xf>
    <xf numFmtId="164" fontId="27" fillId="0" borderId="0" xfId="0" applyNumberFormat="1" applyFont="1" applyAlignment="1">
      <alignment/>
    </xf>
    <xf numFmtId="0" fontId="29" fillId="0" borderId="0" xfId="0" applyFont="1" applyAlignment="1">
      <alignment wrapText="1"/>
    </xf>
    <xf numFmtId="0" fontId="30" fillId="0" borderId="0" xfId="0" applyFont="1" applyAlignment="1">
      <alignment horizontal="right" vertical="top" wrapText="1"/>
    </xf>
    <xf numFmtId="164" fontId="30" fillId="0" borderId="0" xfId="0" applyNumberFormat="1" applyFont="1" applyAlignment="1">
      <alignment horizontal="center"/>
    </xf>
    <xf numFmtId="0" fontId="30" fillId="0" borderId="14" xfId="0" applyFont="1" applyBorder="1" applyAlignment="1">
      <alignment wrapText="1"/>
    </xf>
    <xf numFmtId="0" fontId="27" fillId="0" borderId="14" xfId="0" applyFont="1" applyBorder="1" applyAlignment="1">
      <alignment wrapText="1"/>
    </xf>
    <xf numFmtId="164" fontId="27" fillId="0" borderId="0" xfId="0" applyNumberFormat="1" applyFont="1" applyAlignment="1">
      <alignment/>
    </xf>
    <xf numFmtId="0" fontId="30" fillId="0" borderId="0" xfId="0" applyFont="1" applyAlignment="1">
      <alignment wrapText="1"/>
    </xf>
    <xf numFmtId="0" fontId="27" fillId="0" borderId="0" xfId="0" applyFont="1" applyAlignment="1">
      <alignment wrapText="1"/>
    </xf>
    <xf numFmtId="3" fontId="27" fillId="0" borderId="0" xfId="0" applyNumberFormat="1" applyFont="1" applyAlignment="1">
      <alignment wrapText="1"/>
    </xf>
    <xf numFmtId="0" fontId="27" fillId="0" borderId="3" xfId="0" applyFont="1" applyBorder="1" applyAlignment="1">
      <alignment wrapText="1"/>
    </xf>
    <xf numFmtId="0" fontId="30" fillId="0" borderId="3" xfId="0" applyFont="1" applyBorder="1" applyAlignment="1">
      <alignment wrapText="1"/>
    </xf>
    <xf numFmtId="178" fontId="30" fillId="0" borderId="0" xfId="86" applyNumberFormat="1" applyFont="1" applyAlignment="1">
      <alignment wrapText="1"/>
    </xf>
    <xf numFmtId="178" fontId="30" fillId="0" borderId="0" xfId="86" applyNumberFormat="1" applyFont="1" applyBorder="1" applyAlignment="1">
      <alignment horizontal="right" wrapText="1"/>
    </xf>
    <xf numFmtId="0" fontId="30" fillId="0" borderId="13" xfId="0" applyFont="1" applyBorder="1" applyAlignment="1">
      <alignment wrapText="1"/>
    </xf>
    <xf numFmtId="0" fontId="30" fillId="0" borderId="13" xfId="0" applyFont="1" applyBorder="1" applyAlignment="1">
      <alignment horizontal="right" wrapText="1"/>
    </xf>
    <xf numFmtId="0" fontId="27" fillId="0" borderId="0" xfId="0" applyFont="1" applyAlignment="1">
      <alignment/>
    </xf>
    <xf numFmtId="178" fontId="35" fillId="0" borderId="0" xfId="0" applyNumberFormat="1" applyFont="1" applyAlignment="1">
      <alignment/>
    </xf>
    <xf numFmtId="164" fontId="34" fillId="0" borderId="0" xfId="0" applyNumberFormat="1" applyFont="1" applyAlignment="1">
      <alignment/>
    </xf>
    <xf numFmtId="164" fontId="27" fillId="0" borderId="0" xfId="76" applyNumberFormat="1" applyFont="1" applyFill="1" applyAlignment="1">
      <alignment/>
      <protection/>
    </xf>
    <xf numFmtId="0" fontId="28" fillId="0" borderId="0" xfId="76" applyNumberFormat="1" applyFont="1" applyAlignment="1">
      <alignment wrapText="1"/>
      <protection/>
    </xf>
    <xf numFmtId="164" fontId="29" fillId="0" borderId="0" xfId="76" applyNumberFormat="1" applyFont="1" applyFill="1" applyAlignment="1">
      <alignment vertical="center"/>
      <protection/>
    </xf>
    <xf numFmtId="164" fontId="30" fillId="0" borderId="0" xfId="76" applyNumberFormat="1" applyFont="1" applyFill="1" applyAlignment="1">
      <alignment horizontal="right" vertical="center"/>
      <protection/>
    </xf>
    <xf numFmtId="164" fontId="0" fillId="0" borderId="0" xfId="76" applyNumberFormat="1" applyFill="1" applyAlignment="1">
      <alignment/>
      <protection/>
    </xf>
    <xf numFmtId="164" fontId="29" fillId="0" borderId="3" xfId="76" applyNumberFormat="1" applyFont="1" applyFill="1" applyBorder="1" applyAlignment="1">
      <alignment vertical="center"/>
      <protection/>
    </xf>
    <xf numFmtId="164" fontId="30" fillId="0" borderId="3" xfId="76" applyNumberFormat="1" applyFont="1" applyFill="1" applyBorder="1" applyAlignment="1">
      <alignment horizontal="right" vertical="center"/>
      <protection/>
    </xf>
    <xf numFmtId="164" fontId="30" fillId="0" borderId="0" xfId="76" applyNumberFormat="1" applyFont="1" applyFill="1" applyAlignment="1">
      <alignment vertical="center"/>
      <protection/>
    </xf>
    <xf numFmtId="164" fontId="27" fillId="0" borderId="0" xfId="76" applyNumberFormat="1" applyFont="1" applyFill="1" applyAlignment="1">
      <alignment vertical="center"/>
      <protection/>
    </xf>
    <xf numFmtId="164" fontId="31" fillId="0" borderId="3" xfId="76" applyNumberFormat="1" applyFont="1" applyFill="1" applyBorder="1" applyAlignment="1">
      <alignment vertical="center"/>
      <protection/>
    </xf>
    <xf numFmtId="164" fontId="31" fillId="0" borderId="0" xfId="76" applyNumberFormat="1" applyFont="1" applyFill="1" applyAlignment="1">
      <alignment/>
      <protection/>
    </xf>
    <xf numFmtId="164" fontId="27" fillId="0" borderId="14" xfId="76" applyNumberFormat="1" applyFont="1" applyFill="1" applyBorder="1" applyAlignment="1">
      <alignment vertical="center"/>
      <protection/>
    </xf>
    <xf numFmtId="164" fontId="32" fillId="0" borderId="3" xfId="76" applyNumberFormat="1" applyFont="1" applyFill="1" applyBorder="1" applyAlignment="1">
      <alignment vertical="center"/>
      <protection/>
    </xf>
    <xf numFmtId="164" fontId="30" fillId="0" borderId="14" xfId="76" applyNumberFormat="1" applyFont="1" applyFill="1" applyBorder="1" applyAlignment="1">
      <alignment vertical="center"/>
      <protection/>
    </xf>
    <xf numFmtId="164" fontId="31" fillId="0" borderId="13" xfId="76" applyNumberFormat="1" applyFont="1" applyFill="1" applyBorder="1" applyAlignment="1">
      <alignment vertical="center"/>
      <protection/>
    </xf>
    <xf numFmtId="164" fontId="27" fillId="0" borderId="15" xfId="76" applyNumberFormat="1" applyFont="1" applyFill="1" applyBorder="1" applyAlignment="1">
      <alignment vertical="center"/>
      <protection/>
    </xf>
    <xf numFmtId="164" fontId="33" fillId="0" borderId="0" xfId="76" applyNumberFormat="1" applyFont="1" applyFill="1" applyAlignment="1">
      <alignment vertical="center"/>
      <protection/>
    </xf>
    <xf numFmtId="164" fontId="31" fillId="0" borderId="3" xfId="76" applyNumberFormat="1" applyFont="1" applyFill="1" applyBorder="1" applyAlignment="1">
      <alignment horizontal="right" vertical="center"/>
      <protection/>
    </xf>
    <xf numFmtId="164" fontId="27" fillId="0" borderId="0" xfId="76" applyNumberFormat="1" applyFont="1" applyFill="1" applyAlignment="1">
      <alignment horizontal="right" vertical="center"/>
      <protection/>
    </xf>
    <xf numFmtId="164" fontId="31" fillId="0" borderId="0" xfId="76" applyNumberFormat="1" applyFont="1" applyFill="1" applyAlignment="1">
      <alignment horizontal="right" vertical="center"/>
      <protection/>
    </xf>
    <xf numFmtId="164" fontId="27" fillId="0" borderId="14" xfId="76" applyNumberFormat="1" applyFont="1" applyFill="1" applyBorder="1" applyAlignment="1">
      <alignment horizontal="right" vertical="center"/>
      <protection/>
    </xf>
    <xf numFmtId="164" fontId="32" fillId="0" borderId="13" xfId="76" applyNumberFormat="1" applyFont="1" applyFill="1" applyBorder="1" applyAlignment="1">
      <alignment vertical="center"/>
      <protection/>
    </xf>
    <xf numFmtId="164" fontId="32" fillId="0" borderId="13" xfId="76" applyNumberFormat="1" applyFont="1" applyFill="1" applyBorder="1" applyAlignment="1">
      <alignment horizontal="right" vertical="center"/>
      <protection/>
    </xf>
    <xf numFmtId="164" fontId="27" fillId="0" borderId="0" xfId="76" applyNumberFormat="1" applyFont="1" applyAlignment="1">
      <alignment horizontal="left"/>
      <protection/>
    </xf>
    <xf numFmtId="164" fontId="27" fillId="0" borderId="0" xfId="76" applyNumberFormat="1" applyFont="1" applyFill="1" applyAlignment="1">
      <alignment/>
      <protection/>
    </xf>
    <xf numFmtId="178" fontId="27" fillId="0" borderId="0" xfId="86" applyNumberFormat="1" applyFont="1" applyAlignment="1">
      <alignment wrapText="1"/>
    </xf>
    <xf numFmtId="164" fontId="27" fillId="0" borderId="0" xfId="76" applyNumberFormat="1" applyFont="1" applyFill="1" applyAlignment="1">
      <alignment horizontal="left" wrapText="1"/>
      <protection/>
    </xf>
    <xf numFmtId="164" fontId="27" fillId="18" borderId="0" xfId="76" applyNumberFormat="1" applyFont="1" applyFill="1" applyAlignment="1">
      <alignment/>
      <protection/>
    </xf>
    <xf numFmtId="164" fontId="30" fillId="0" borderId="0" xfId="0" applyNumberFormat="1" applyFont="1" applyFill="1" applyAlignment="1">
      <alignment horizontal="center" vertical="center"/>
    </xf>
    <xf numFmtId="3" fontId="27" fillId="0" borderId="0" xfId="0" applyNumberFormat="1" applyFont="1" applyAlignment="1">
      <alignment horizontal="right" wrapText="1"/>
    </xf>
    <xf numFmtId="164" fontId="37" fillId="0" borderId="0" xfId="0" applyNumberFormat="1" applyFont="1" applyAlignment="1">
      <alignment/>
    </xf>
    <xf numFmtId="164" fontId="27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/>
    </xf>
    <xf numFmtId="164" fontId="30" fillId="0" borderId="16" xfId="0" applyNumberFormat="1" applyFont="1" applyBorder="1" applyAlignment="1">
      <alignment vertical="center" wrapText="1"/>
    </xf>
    <xf numFmtId="164" fontId="31" fillId="0" borderId="0" xfId="0" applyNumberFormat="1" applyFont="1" applyBorder="1" applyAlignment="1">
      <alignment vertical="center" wrapText="1"/>
    </xf>
    <xf numFmtId="164" fontId="30" fillId="0" borderId="0" xfId="0" applyNumberFormat="1" applyFont="1" applyAlignment="1">
      <alignment/>
    </xf>
    <xf numFmtId="3" fontId="30" fillId="0" borderId="0" xfId="0" applyNumberFormat="1" applyFont="1" applyAlignment="1">
      <alignment horizontal="right" vertical="center" wrapText="1"/>
    </xf>
    <xf numFmtId="3" fontId="30" fillId="0" borderId="0" xfId="0" applyNumberFormat="1" applyFont="1" applyAlignment="1">
      <alignment wrapText="1"/>
    </xf>
    <xf numFmtId="168" fontId="30" fillId="0" borderId="0" xfId="0" applyNumberFormat="1" applyFont="1" applyAlignment="1">
      <alignment wrapText="1"/>
    </xf>
    <xf numFmtId="164" fontId="30" fillId="0" borderId="0" xfId="0" applyNumberFormat="1" applyFont="1" applyAlignment="1">
      <alignment horizontal="center" vertical="center" wrapText="1"/>
    </xf>
  </cellXfs>
  <cellStyles count="8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2266.2 TB-TS-FS 6m 2006 in KZT" xfId="15"/>
    <cellStyle name="_Worksheet in (C) 2272 IFRS 7 -disclosure" xfId="16"/>
    <cellStyle name="_Worksheet in 5350 Aging analysis 31 12 2006 UPDATE-2" xfId="17"/>
    <cellStyle name="20% - Акцент1" xfId="18"/>
    <cellStyle name="20% - Акцент2" xfId="19"/>
    <cellStyle name="20% - Акцент3" xfId="20"/>
    <cellStyle name="20% - Акцент4" xfId="21"/>
    <cellStyle name="20% - Акцент5" xfId="22"/>
    <cellStyle name="20% - Акцент6" xfId="23"/>
    <cellStyle name="40% - Акцент1" xfId="24"/>
    <cellStyle name="40% - Акцент2" xfId="25"/>
    <cellStyle name="40% - Акцент3" xfId="26"/>
    <cellStyle name="40% - Акцент4" xfId="27"/>
    <cellStyle name="40% - Акцент5" xfId="28"/>
    <cellStyle name="40% - Акцент6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Comma 2" xfId="36"/>
    <cellStyle name="Comma 3" xfId="37"/>
    <cellStyle name="Credit" xfId="38"/>
    <cellStyle name="Credit subtotal" xfId="39"/>
    <cellStyle name="Credit Total" xfId="40"/>
    <cellStyle name="Debit" xfId="41"/>
    <cellStyle name="Debit subtotal" xfId="42"/>
    <cellStyle name="Debit Total" xfId="43"/>
    <cellStyle name="Heading" xfId="44"/>
    <cellStyle name="Normal 2" xfId="45"/>
    <cellStyle name="Normal 2 2" xfId="46"/>
    <cellStyle name="Normal 2_Book8" xfId="47"/>
    <cellStyle name="Normal 3" xfId="48"/>
    <cellStyle name="Normal 6" xfId="49"/>
    <cellStyle name="Normal_SHEET" xfId="50"/>
    <cellStyle name="Percent (0)" xfId="51"/>
    <cellStyle name="Standard_acc-report-ias" xfId="52"/>
    <cellStyle name="Style 1" xfId="53"/>
    <cellStyle name="Tickmark" xfId="54"/>
    <cellStyle name="Акцент1" xfId="55"/>
    <cellStyle name="Акцент2" xfId="56"/>
    <cellStyle name="Акцент3" xfId="57"/>
    <cellStyle name="Акцент4" xfId="58"/>
    <cellStyle name="Акцент5" xfId="59"/>
    <cellStyle name="Акцент6" xfId="60"/>
    <cellStyle name="Ввод " xfId="61"/>
    <cellStyle name="Вывод" xfId="62"/>
    <cellStyle name="Вычисление" xfId="63"/>
    <cellStyle name="Hyperlink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АНДАГАЧ тел3-33-96" xfId="72"/>
    <cellStyle name="Контрольная ячейка" xfId="73"/>
    <cellStyle name="Название" xfId="74"/>
    <cellStyle name="Нейтральный" xfId="75"/>
    <cellStyle name="Обычный_ФО Формы для заполнения 3 кв 2014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Тысячи [0]_01.02.98" xfId="84"/>
    <cellStyle name="Тысячи_01.02.98" xfId="85"/>
    <cellStyle name="Comma" xfId="86"/>
    <cellStyle name="Comma [0]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2267.2%20TB-TS-FS%20APC%202006%20new%20updated%20FINAL,%20REFERENCED%20TO%20ISSUED%20REPORT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8246%20Production%20cost%20-%20analytical%20procedure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inans2\AppData\Local\Temp\Directum&amp;ServerDirectum\directum\&#1058;&#1088;&#1072;&#1085;&#1089;&#1092;&#1086;&#1088;&#1084;&#1072;&#1094;&#1080;&#1086;&#1085;&#1085;&#1099;&#1077;%20&#1090;&#1072;&#1073;&#1083;&#1080;&#1094;&#1099;%201%20&#1082;&#1074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S 2006"/>
      <sheetName val="TB 2006"/>
      <sheetName val="TT 2006"/>
      <sheetName val="AJE support"/>
      <sheetName val="CIP"/>
      <sheetName val="Equity"/>
      <sheetName val="CF"/>
      <sheetName val="DTT CF-06"/>
      <sheetName val="first draft AJEs"/>
      <sheetName val="APC 12m FINAL"/>
      <sheetName val="Aktobe 12m"/>
      <sheetName val="PY FS"/>
      <sheetName val="DTT CF-05"/>
      <sheetName val="Intan"/>
      <sheetName val="Invent"/>
      <sheetName val="AR"/>
      <sheetName val="осн табл."/>
      <sheetName val="Other AR"/>
      <sheetName val="Cash"/>
      <sheetName val="FA"/>
      <sheetName val="Taxes"/>
      <sheetName val="PBC for taxes"/>
      <sheetName val="Other liab"/>
      <sheetName val="Loans"/>
      <sheetName val="Revenue"/>
      <sheetName val="COS"/>
      <sheetName val="G&amp;A"/>
      <sheetName val="DIT"/>
      <sheetName val="2006 AJE RJE"/>
      <sheetName val="IFRS"/>
      <sheetName val="Tickmark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Analysis COP"/>
      <sheetName val="COS"/>
      <sheetName val="12-1"/>
      <sheetName val="Excess Calc"/>
      <sheetName val="Threshold Calc"/>
      <sheetName val="13-1"/>
      <sheetName val="IFRS Disclosure"/>
      <sheetName val="Свод с нг(2003)-PBC"/>
      <sheetName val="Свод с нг(2002)-PBC"/>
      <sheetName val="XREF"/>
      <sheetName val="Tickmark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S"/>
      <sheetName val="Transf_STM"/>
      <sheetName val="ОСБ 1 КВ-2015г"/>
      <sheetName val="Transf_UKTMP"/>
      <sheetName val="Кор.вх.с-до"/>
      <sheetName val="CY AJE_UKTMP2014"/>
      <sheetName val="CY AJE_STM"/>
      <sheetName val="Cons Transf"/>
      <sheetName val="CB Elimation AJE"/>
      <sheetName val="CB Elimation AJE 2008"/>
      <sheetName val="OB AJE_UKTMP"/>
      <sheetName val="OB Elimations"/>
      <sheetName val="CY RJE_UKTMP"/>
      <sheetName val="Client OB AJE_UKTMP"/>
      <sheetName val="Sheet1"/>
      <sheetName val="CY RJE_STM"/>
      <sheetName val="Tickmarks"/>
    </sheetNames>
    <sheetDataSet>
      <sheetData sheetId="0">
        <row r="33">
          <cell r="N33">
            <v>-159987.66619000002</v>
          </cell>
        </row>
        <row r="34">
          <cell r="N34">
            <v>-1282400.8450000002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76"/>
  <sheetViews>
    <sheetView showGridLines="0" tabSelected="1" zoomScale="90" zoomScaleNormal="90" zoomScalePageLayoutView="0" workbookViewId="0" topLeftCell="A1">
      <pane xSplit="1" ySplit="5" topLeftCell="B6" activePane="bottomRight" state="frozen"/>
      <selection pane="topLeft" activeCell="E28" sqref="E28"/>
      <selection pane="topRight" activeCell="E28" sqref="E28"/>
      <selection pane="bottomLeft" activeCell="E28" sqref="E28"/>
      <selection pane="bottomRight" activeCell="C60" sqref="C60"/>
    </sheetView>
  </sheetViews>
  <sheetFormatPr defaultColWidth="9.140625" defaultRowHeight="12.75"/>
  <cols>
    <col min="1" max="1" width="59.7109375" style="71" customWidth="1"/>
    <col min="2" max="3" width="17.00390625" style="51" customWidth="1"/>
    <col min="4" max="16384" width="9.140625" style="51" customWidth="1"/>
  </cols>
  <sheetData>
    <row r="1" s="47" customFormat="1" ht="12"/>
    <row r="2" s="47" customFormat="1" ht="18" customHeight="1">
      <c r="A2" s="48" t="s">
        <v>0</v>
      </c>
    </row>
    <row r="3" s="47" customFormat="1" ht="18" customHeight="1"/>
    <row r="4" spans="1:3" ht="12.75">
      <c r="A4" s="49"/>
      <c r="B4" s="50" t="s">
        <v>111</v>
      </c>
      <c r="C4" s="50" t="s">
        <v>103</v>
      </c>
    </row>
    <row r="5" spans="1:3" ht="13.5" thickBot="1">
      <c r="A5" s="52"/>
      <c r="B5" s="53"/>
      <c r="C5" s="53"/>
    </row>
    <row r="6" spans="1:3" ht="12.75">
      <c r="A6" s="49"/>
      <c r="B6" s="54"/>
      <c r="C6" s="54"/>
    </row>
    <row r="7" spans="1:3" ht="12.75">
      <c r="A7" s="54" t="s">
        <v>1</v>
      </c>
      <c r="B7" s="55"/>
      <c r="C7" s="55"/>
    </row>
    <row r="8" spans="1:3" ht="12.75">
      <c r="A8" s="55"/>
      <c r="B8" s="55"/>
      <c r="C8" s="55"/>
    </row>
    <row r="9" spans="1:3" ht="12.75">
      <c r="A9" s="55" t="s">
        <v>2</v>
      </c>
      <c r="B9" s="55">
        <v>39945168</v>
      </c>
      <c r="C9" s="55">
        <v>36720483</v>
      </c>
    </row>
    <row r="10" spans="1:3" ht="12.75">
      <c r="A10" s="55" t="s">
        <v>3</v>
      </c>
      <c r="B10" s="55">
        <v>625867</v>
      </c>
      <c r="C10" s="55">
        <v>460039</v>
      </c>
    </row>
    <row r="11" spans="1:3" ht="12.75">
      <c r="A11" s="55" t="s">
        <v>4</v>
      </c>
      <c r="B11" s="55">
        <v>3248950</v>
      </c>
      <c r="C11" s="55">
        <v>3114158</v>
      </c>
    </row>
    <row r="12" spans="1:3" ht="12.75">
      <c r="A12" s="55" t="s">
        <v>101</v>
      </c>
      <c r="B12" s="55">
        <v>3917530</v>
      </c>
      <c r="C12" s="55">
        <v>3917530</v>
      </c>
    </row>
    <row r="13" spans="1:3" ht="12.75">
      <c r="A13" s="55" t="s">
        <v>5</v>
      </c>
      <c r="B13" s="55">
        <v>326278</v>
      </c>
      <c r="C13" s="55">
        <v>99673</v>
      </c>
    </row>
    <row r="14" spans="1:3" s="57" customFormat="1" ht="6.75" thickBot="1">
      <c r="A14" s="56"/>
      <c r="B14" s="56"/>
      <c r="C14" s="56"/>
    </row>
    <row r="15" spans="1:3" ht="12.75">
      <c r="A15" s="55"/>
      <c r="B15" s="55"/>
      <c r="C15" s="55"/>
    </row>
    <row r="16" spans="1:3" ht="12.75">
      <c r="A16" s="54" t="s">
        <v>6</v>
      </c>
      <c r="B16" s="54">
        <f>SUM(B9:B15)</f>
        <v>48063793</v>
      </c>
      <c r="C16" s="54">
        <f>SUM(C9:C15)</f>
        <v>44311883</v>
      </c>
    </row>
    <row r="17" spans="1:3" s="57" customFormat="1" ht="6.75" thickBot="1">
      <c r="A17" s="56"/>
      <c r="B17" s="56"/>
      <c r="C17" s="56"/>
    </row>
    <row r="18" spans="1:3" ht="12.75">
      <c r="A18" s="55"/>
      <c r="B18" s="55"/>
      <c r="C18" s="55"/>
    </row>
    <row r="19" spans="1:3" ht="12.75">
      <c r="A19" s="55" t="s">
        <v>7</v>
      </c>
      <c r="B19" s="55">
        <v>30922280</v>
      </c>
      <c r="C19" s="55">
        <v>23719845</v>
      </c>
    </row>
    <row r="20" spans="1:3" ht="12.75">
      <c r="A20" s="55" t="s">
        <v>8</v>
      </c>
      <c r="B20" s="55">
        <v>7721739</v>
      </c>
      <c r="C20" s="55">
        <v>7731792</v>
      </c>
    </row>
    <row r="21" spans="1:3" ht="12.75">
      <c r="A21" s="55" t="s">
        <v>9</v>
      </c>
      <c r="B21" s="55">
        <v>602221</v>
      </c>
      <c r="C21" s="55">
        <v>144459</v>
      </c>
    </row>
    <row r="22" spans="1:3" ht="12.75">
      <c r="A22" s="55" t="s">
        <v>10</v>
      </c>
      <c r="B22" s="55">
        <v>2724831</v>
      </c>
      <c r="C22" s="55">
        <v>1647014</v>
      </c>
    </row>
    <row r="23" spans="1:3" ht="12.75">
      <c r="A23" s="55" t="s">
        <v>11</v>
      </c>
      <c r="B23" s="55">
        <v>2045112</v>
      </c>
      <c r="C23" s="55">
        <v>5963108</v>
      </c>
    </row>
    <row r="24" spans="1:3" s="57" customFormat="1" ht="6.75" thickBot="1">
      <c r="A24" s="56"/>
      <c r="B24" s="56"/>
      <c r="C24" s="56"/>
    </row>
    <row r="25" spans="1:3" ht="12.75">
      <c r="A25" s="58"/>
      <c r="B25" s="55"/>
      <c r="C25" s="55"/>
    </row>
    <row r="26" spans="1:3" ht="12.75">
      <c r="A26" s="54" t="s">
        <v>12</v>
      </c>
      <c r="B26" s="54">
        <f>SUM(B19:B25)</f>
        <v>44016183</v>
      </c>
      <c r="C26" s="54">
        <f>SUM(C19:C25)</f>
        <v>39206218</v>
      </c>
    </row>
    <row r="27" spans="1:3" s="57" customFormat="1" ht="6.75" thickBot="1">
      <c r="A27" s="59"/>
      <c r="B27" s="59"/>
      <c r="C27" s="59"/>
    </row>
    <row r="28" spans="1:3" ht="12.75">
      <c r="A28" s="60"/>
      <c r="B28" s="54"/>
      <c r="C28" s="54"/>
    </row>
    <row r="29" spans="1:3" ht="12.75">
      <c r="A29" s="54" t="s">
        <v>13</v>
      </c>
      <c r="B29" s="54">
        <f>B16+B26</f>
        <v>92079976</v>
      </c>
      <c r="C29" s="54">
        <f>C16+C26</f>
        <v>83518101</v>
      </c>
    </row>
    <row r="30" spans="1:3" s="57" customFormat="1" ht="6.75" thickBot="1">
      <c r="A30" s="61"/>
      <c r="B30" s="61"/>
      <c r="C30" s="61"/>
    </row>
    <row r="31" spans="1:3" ht="13.5" thickTop="1">
      <c r="A31" s="62"/>
      <c r="B31" s="55"/>
      <c r="C31" s="55"/>
    </row>
    <row r="32" ht="12.75">
      <c r="A32" s="54" t="s">
        <v>14</v>
      </c>
    </row>
    <row r="33" ht="12.75">
      <c r="A33" s="54"/>
    </row>
    <row r="34" ht="12.75">
      <c r="A34" s="63" t="s">
        <v>15</v>
      </c>
    </row>
    <row r="35" spans="1:3" ht="12.75">
      <c r="A35" s="55" t="s">
        <v>16</v>
      </c>
      <c r="B35" s="55">
        <f>-'[3]FS'!$N$33</f>
        <v>159987.66619000002</v>
      </c>
      <c r="C35" s="55">
        <v>159988</v>
      </c>
    </row>
    <row r="36" spans="1:3" ht="12.75">
      <c r="A36" s="55" t="s">
        <v>17</v>
      </c>
      <c r="B36" s="55">
        <f>-'[3]FS'!$N$34</f>
        <v>1282400.8450000002</v>
      </c>
      <c r="C36" s="55">
        <v>1282401</v>
      </c>
    </row>
    <row r="37" spans="1:3" ht="12.75">
      <c r="A37" s="55" t="s">
        <v>94</v>
      </c>
      <c r="B37" s="55">
        <v>-40464</v>
      </c>
      <c r="C37" s="55">
        <v>-40464</v>
      </c>
    </row>
    <row r="38" spans="1:3" ht="12.75">
      <c r="A38" s="55" t="s">
        <v>95</v>
      </c>
      <c r="B38" s="55">
        <v>3394691</v>
      </c>
      <c r="C38" s="55">
        <v>2535878</v>
      </c>
    </row>
    <row r="39" spans="1:3" ht="12.75">
      <c r="A39" s="55" t="s">
        <v>19</v>
      </c>
      <c r="B39" s="55">
        <v>14208096</v>
      </c>
      <c r="C39" s="55">
        <v>12014980</v>
      </c>
    </row>
    <row r="40" spans="1:3" s="57" customFormat="1" ht="6.75" thickBot="1">
      <c r="A40" s="56"/>
      <c r="B40" s="64"/>
      <c r="C40" s="64"/>
    </row>
    <row r="41" spans="1:3" ht="12.75">
      <c r="A41" s="55"/>
      <c r="B41" s="65"/>
      <c r="C41" s="65"/>
    </row>
    <row r="42" spans="1:3" ht="12.75">
      <c r="A42" s="54" t="s">
        <v>20</v>
      </c>
      <c r="B42" s="50">
        <f>SUM(B35:B41)</f>
        <v>19004711.51119</v>
      </c>
      <c r="C42" s="50">
        <f>SUM(C35:C41)</f>
        <v>15952783</v>
      </c>
    </row>
    <row r="43" spans="1:3" s="57" customFormat="1" ht="6.75" thickBot="1">
      <c r="A43" s="56"/>
      <c r="B43" s="66"/>
      <c r="C43" s="66"/>
    </row>
    <row r="44" spans="1:3" ht="12.75">
      <c r="A44" s="55"/>
      <c r="B44" s="67"/>
      <c r="C44" s="67"/>
    </row>
    <row r="45" spans="1:3" ht="12.75">
      <c r="A45" s="63" t="s">
        <v>30</v>
      </c>
      <c r="B45" s="65"/>
      <c r="C45" s="65"/>
    </row>
    <row r="46" spans="1:3" ht="12.75">
      <c r="A46" s="55" t="s">
        <v>85</v>
      </c>
      <c r="B46" s="55">
        <v>13920806</v>
      </c>
      <c r="C46" s="55">
        <v>13563685</v>
      </c>
    </row>
    <row r="47" spans="1:3" ht="12.75">
      <c r="A47" s="55" t="s">
        <v>86</v>
      </c>
      <c r="B47" s="55">
        <v>454830</v>
      </c>
      <c r="C47" s="55">
        <v>444396</v>
      </c>
    </row>
    <row r="48" spans="1:3" ht="12.75">
      <c r="A48" s="55" t="s">
        <v>87</v>
      </c>
      <c r="B48" s="55">
        <v>136048</v>
      </c>
      <c r="C48" s="55">
        <v>136048</v>
      </c>
    </row>
    <row r="49" spans="1:3" ht="12.75">
      <c r="A49" s="55" t="s">
        <v>21</v>
      </c>
      <c r="B49" s="55">
        <v>3129239</v>
      </c>
      <c r="C49" s="55">
        <v>3052590</v>
      </c>
    </row>
    <row r="50" spans="1:3" ht="12.75">
      <c r="A50" s="55" t="s">
        <v>22</v>
      </c>
      <c r="B50" s="55">
        <v>134620</v>
      </c>
      <c r="C50" s="55">
        <v>135224</v>
      </c>
    </row>
    <row r="51" spans="1:3" s="57" customFormat="1" ht="6.75" thickBot="1">
      <c r="A51" s="56"/>
      <c r="B51" s="64"/>
      <c r="C51" s="64"/>
    </row>
    <row r="52" spans="1:3" ht="12.75">
      <c r="A52" s="55"/>
      <c r="B52" s="65"/>
      <c r="C52" s="65"/>
    </row>
    <row r="53" spans="1:3" ht="12.75">
      <c r="A53" s="54" t="s">
        <v>23</v>
      </c>
      <c r="B53" s="50">
        <f>SUM(B46:B52)</f>
        <v>17775543</v>
      </c>
      <c r="C53" s="50">
        <f>SUM(C46:C52)</f>
        <v>17331943</v>
      </c>
    </row>
    <row r="54" spans="1:3" s="57" customFormat="1" ht="6.75" thickBot="1">
      <c r="A54" s="56"/>
      <c r="B54" s="64"/>
      <c r="C54" s="64"/>
    </row>
    <row r="55" spans="1:3" ht="12.75">
      <c r="A55" s="55"/>
      <c r="B55" s="65"/>
      <c r="C55" s="65"/>
    </row>
    <row r="56" spans="1:3" ht="12.75">
      <c r="A56" s="63" t="s">
        <v>24</v>
      </c>
      <c r="B56" s="65"/>
      <c r="C56" s="65"/>
    </row>
    <row r="57" spans="1:3" ht="12.75">
      <c r="A57" s="55" t="s">
        <v>85</v>
      </c>
      <c r="B57" s="55">
        <v>21678981</v>
      </c>
      <c r="C57" s="55">
        <v>20646810</v>
      </c>
    </row>
    <row r="58" spans="1:3" ht="12.75">
      <c r="A58" s="55" t="s">
        <v>88</v>
      </c>
      <c r="B58" s="55">
        <v>25601</v>
      </c>
      <c r="C58" s="55">
        <v>25601</v>
      </c>
    </row>
    <row r="59" spans="1:3" ht="12.75">
      <c r="A59" s="55" t="s">
        <v>25</v>
      </c>
      <c r="B59" s="55">
        <v>33521143</v>
      </c>
      <c r="C59" s="55">
        <v>29290856</v>
      </c>
    </row>
    <row r="60" spans="1:3" ht="12.75">
      <c r="A60" s="55" t="s">
        <v>26</v>
      </c>
      <c r="B60" s="55">
        <v>73996</v>
      </c>
      <c r="C60" s="55">
        <v>270108</v>
      </c>
    </row>
    <row r="61" spans="1:3" s="57" customFormat="1" ht="6.75" thickBot="1">
      <c r="A61" s="56"/>
      <c r="B61" s="64"/>
      <c r="C61" s="64"/>
    </row>
    <row r="62" spans="1:3" ht="12.75">
      <c r="A62" s="55"/>
      <c r="B62" s="65"/>
      <c r="C62" s="65"/>
    </row>
    <row r="63" spans="1:3" ht="12.75">
      <c r="A63" s="54" t="s">
        <v>27</v>
      </c>
      <c r="B63" s="50">
        <f>SUM(B57:B62)</f>
        <v>55299721</v>
      </c>
      <c r="C63" s="50">
        <f>SUM(C57:C62)</f>
        <v>50233375</v>
      </c>
    </row>
    <row r="64" spans="1:3" s="57" customFormat="1" ht="6.75" thickBot="1">
      <c r="A64" s="56"/>
      <c r="B64" s="64"/>
      <c r="C64" s="64"/>
    </row>
    <row r="65" spans="1:3" ht="12.75">
      <c r="A65" s="55"/>
      <c r="B65" s="65"/>
      <c r="C65" s="65"/>
    </row>
    <row r="66" spans="1:3" ht="12.75">
      <c r="A66" s="54" t="s">
        <v>28</v>
      </c>
      <c r="B66" s="50">
        <f>B53+B63</f>
        <v>73075264</v>
      </c>
      <c r="C66" s="50">
        <f>C53+C63</f>
        <v>67565318</v>
      </c>
    </row>
    <row r="67" spans="1:3" s="57" customFormat="1" ht="6.75" thickBot="1">
      <c r="A67" s="59"/>
      <c r="B67" s="64"/>
      <c r="C67" s="64"/>
    </row>
    <row r="68" spans="1:3" ht="12.75">
      <c r="A68" s="54"/>
      <c r="B68" s="65"/>
      <c r="C68" s="65"/>
    </row>
    <row r="69" spans="1:3" ht="12.75">
      <c r="A69" s="54" t="s">
        <v>29</v>
      </c>
      <c r="B69" s="50">
        <f>B42+B66</f>
        <v>92079975.51119</v>
      </c>
      <c r="C69" s="50">
        <f>C42+C66</f>
        <v>83518101</v>
      </c>
    </row>
    <row r="70" spans="1:3" s="57" customFormat="1" ht="6.75" thickBot="1">
      <c r="A70" s="68"/>
      <c r="B70" s="69"/>
      <c r="C70" s="69"/>
    </row>
    <row r="71" s="47" customFormat="1" ht="12.75" thickTop="1"/>
    <row r="72" spans="1:3" s="47" customFormat="1" ht="24" customHeight="1">
      <c r="A72" s="73" t="s">
        <v>92</v>
      </c>
      <c r="B72" s="47">
        <v>9461</v>
      </c>
      <c r="C72" s="47">
        <v>7975</v>
      </c>
    </row>
    <row r="73" spans="1:3" s="47" customFormat="1" ht="12">
      <c r="A73" s="47" t="s">
        <v>93</v>
      </c>
      <c r="B73" s="74">
        <v>20</v>
      </c>
      <c r="C73" s="74">
        <v>20</v>
      </c>
    </row>
    <row r="74" ht="12.75">
      <c r="A74" s="55"/>
    </row>
    <row r="75" ht="12.75">
      <c r="A75" s="55"/>
    </row>
    <row r="76" s="71" customFormat="1" ht="12">
      <c r="A76" s="70"/>
    </row>
    <row r="77" s="71" customFormat="1" ht="12"/>
    <row r="78" s="71" customFormat="1" ht="12"/>
    <row r="79" s="71" customFormat="1" ht="12"/>
  </sheetData>
  <sheetProtection/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L26" sqref="L26"/>
    </sheetView>
  </sheetViews>
  <sheetFormatPr defaultColWidth="9.140625" defaultRowHeight="12.75"/>
  <cols>
    <col min="1" max="1" width="55.28125" style="0" customWidth="1"/>
    <col min="2" max="2" width="6.8515625" style="0" customWidth="1"/>
    <col min="3" max="3" width="12.28125" style="0" customWidth="1"/>
    <col min="4" max="4" width="11.57421875" style="0" bestFit="1" customWidth="1"/>
    <col min="6" max="6" width="14.140625" style="0" customWidth="1"/>
  </cols>
  <sheetData>
    <row r="1" ht="30">
      <c r="A1" s="1" t="s">
        <v>31</v>
      </c>
    </row>
    <row r="3" spans="1:4" s="2" customFormat="1" ht="24.75" thickBot="1">
      <c r="A3" s="1"/>
      <c r="C3" s="10" t="s">
        <v>113</v>
      </c>
      <c r="D3" s="10" t="s">
        <v>112</v>
      </c>
    </row>
    <row r="4" spans="1:4" s="2" customFormat="1" ht="12.75">
      <c r="A4" s="4"/>
      <c r="C4" s="4"/>
      <c r="D4" s="4"/>
    </row>
    <row r="5" spans="1:4" s="2" customFormat="1" ht="12.75">
      <c r="A5" s="4" t="s">
        <v>32</v>
      </c>
      <c r="C5" s="4">
        <v>22676903</v>
      </c>
      <c r="D5" s="4">
        <v>19488851</v>
      </c>
    </row>
    <row r="6" spans="1:4" s="2" customFormat="1" ht="12.75">
      <c r="A6" s="4" t="s">
        <v>33</v>
      </c>
      <c r="C6" s="4">
        <v>-17000763</v>
      </c>
      <c r="D6" s="4">
        <f>-13914790</f>
        <v>-13914790</v>
      </c>
    </row>
    <row r="7" spans="1:4" s="6" customFormat="1" ht="6.75" thickBot="1">
      <c r="A7" s="5"/>
      <c r="C7" s="5"/>
      <c r="D7" s="5"/>
    </row>
    <row r="8" spans="1:4" s="2" customFormat="1" ht="12.75">
      <c r="A8" s="11"/>
      <c r="C8" s="12"/>
      <c r="D8" s="12"/>
    </row>
    <row r="9" spans="1:4" s="2" customFormat="1" ht="12.75">
      <c r="A9" s="3" t="s">
        <v>34</v>
      </c>
      <c r="C9" s="3">
        <f>SUM(C5:C8)</f>
        <v>5676140</v>
      </c>
      <c r="D9" s="3">
        <f>SUM(D5:D8)</f>
        <v>5574061</v>
      </c>
    </row>
    <row r="10" spans="1:4" s="2" customFormat="1" ht="12.75">
      <c r="A10" s="4"/>
      <c r="C10" s="4"/>
      <c r="D10" s="4"/>
    </row>
    <row r="11" spans="1:4" s="2" customFormat="1" ht="12.75">
      <c r="A11" s="4" t="s">
        <v>96</v>
      </c>
      <c r="C11" s="4">
        <v>489646</v>
      </c>
      <c r="D11" s="4">
        <v>461730</v>
      </c>
    </row>
    <row r="12" spans="1:4" s="2" customFormat="1" ht="12.75">
      <c r="A12" s="4" t="s">
        <v>35</v>
      </c>
      <c r="C12" s="4">
        <f>-1369586</f>
        <v>-1369586</v>
      </c>
      <c r="D12" s="4">
        <f>-1206429</f>
        <v>-1206429</v>
      </c>
    </row>
    <row r="13" spans="1:4" s="2" customFormat="1" ht="12.75">
      <c r="A13" s="4" t="s">
        <v>36</v>
      </c>
      <c r="C13" s="4">
        <f>-767247</f>
        <v>-767247</v>
      </c>
      <c r="D13" s="4">
        <f>-600490</f>
        <v>-600490</v>
      </c>
    </row>
    <row r="14" spans="1:4" s="2" customFormat="1" ht="12.75">
      <c r="A14" s="4" t="s">
        <v>104</v>
      </c>
      <c r="C14" s="4">
        <f>-229801</f>
        <v>-229801</v>
      </c>
      <c r="D14" s="4">
        <v>45561</v>
      </c>
    </row>
    <row r="15" spans="1:4" s="14" customFormat="1" ht="12.75">
      <c r="A15" s="13" t="s">
        <v>102</v>
      </c>
      <c r="C15" s="4">
        <f>-338166</f>
        <v>-338166</v>
      </c>
      <c r="D15" s="4">
        <f>-339953</f>
        <v>-339953</v>
      </c>
    </row>
    <row r="16" spans="1:4" s="6" customFormat="1" ht="6.75" thickBot="1">
      <c r="A16" s="5"/>
      <c r="C16" s="5"/>
      <c r="D16" s="5"/>
    </row>
    <row r="17" spans="1:4" s="2" customFormat="1" ht="12.75">
      <c r="A17" s="11"/>
      <c r="C17" s="12"/>
      <c r="D17" s="12"/>
    </row>
    <row r="18" spans="1:4" s="2" customFormat="1" ht="12.75">
      <c r="A18" s="3" t="s">
        <v>37</v>
      </c>
      <c r="C18" s="3">
        <f>SUM(C9:C17)</f>
        <v>3460986</v>
      </c>
      <c r="D18" s="3">
        <f>SUM(D9:D17)</f>
        <v>3934480</v>
      </c>
    </row>
    <row r="19" spans="1:4" s="2" customFormat="1" ht="12.75">
      <c r="A19" s="3"/>
      <c r="C19" s="3"/>
      <c r="D19" s="3"/>
    </row>
    <row r="20" spans="1:4" s="2" customFormat="1" ht="12.75">
      <c r="A20" s="4" t="s">
        <v>38</v>
      </c>
      <c r="C20" s="4">
        <v>702</v>
      </c>
      <c r="D20" s="4">
        <v>57</v>
      </c>
    </row>
    <row r="21" spans="1:4" s="2" customFormat="1" ht="12.75">
      <c r="A21" s="4" t="s">
        <v>39</v>
      </c>
      <c r="C21" s="4">
        <f>-945056</f>
        <v>-945056</v>
      </c>
      <c r="D21" s="4">
        <f>-1260790</f>
        <v>-1260790</v>
      </c>
    </row>
    <row r="22" spans="1:4" s="2" customFormat="1" ht="12.75">
      <c r="A22" s="4" t="s">
        <v>40</v>
      </c>
      <c r="C22" s="4">
        <v>56229</v>
      </c>
      <c r="D22" s="4">
        <f>-533984</f>
        <v>-533984</v>
      </c>
    </row>
    <row r="23" spans="1:4" s="2" customFormat="1" ht="12.75">
      <c r="A23" s="4"/>
      <c r="C23" s="4"/>
      <c r="D23" s="4"/>
    </row>
    <row r="24" spans="1:4" s="2" customFormat="1" ht="12.75">
      <c r="A24" s="3" t="s">
        <v>41</v>
      </c>
      <c r="C24" s="3">
        <f>SUM(C18:C23)</f>
        <v>2572861</v>
      </c>
      <c r="D24" s="3">
        <f>SUM(D18:D23)</f>
        <v>2139763</v>
      </c>
    </row>
    <row r="25" spans="1:4" s="2" customFormat="1" ht="12.75">
      <c r="A25" s="3"/>
      <c r="C25" s="3"/>
      <c r="D25" s="3"/>
    </row>
    <row r="26" spans="1:4" s="2" customFormat="1" ht="12.75">
      <c r="A26" s="4" t="s">
        <v>42</v>
      </c>
      <c r="C26" s="78">
        <f>-379745</f>
        <v>-379745</v>
      </c>
      <c r="D26" s="4">
        <f>-392804</f>
        <v>-392804</v>
      </c>
    </row>
    <row r="27" spans="1:4" s="6" customFormat="1" ht="6.75" thickBot="1">
      <c r="A27" s="5"/>
      <c r="C27" s="5"/>
      <c r="D27" s="5"/>
    </row>
    <row r="28" spans="1:4" s="2" customFormat="1" ht="12.75">
      <c r="A28" s="4"/>
      <c r="C28" s="4"/>
      <c r="D28" s="4"/>
    </row>
    <row r="29" spans="1:4" s="2" customFormat="1" ht="12.75">
      <c r="A29" s="3" t="s">
        <v>43</v>
      </c>
      <c r="C29" s="3">
        <f>SUM(C24:C28)</f>
        <v>2193116</v>
      </c>
      <c r="D29" s="3">
        <f>SUM(D24:D28)</f>
        <v>1746959</v>
      </c>
    </row>
    <row r="30" spans="1:4" s="6" customFormat="1" ht="6.75" thickBot="1">
      <c r="A30" s="7"/>
      <c r="C30" s="7"/>
      <c r="D30" s="7"/>
    </row>
    <row r="31" spans="1:4" s="2" customFormat="1" ht="12.75">
      <c r="A31" s="4"/>
      <c r="C31" s="4"/>
      <c r="D31" s="4"/>
    </row>
    <row r="32" spans="1:4" s="2" customFormat="1" ht="12.75">
      <c r="A32" s="3" t="s">
        <v>44</v>
      </c>
      <c r="C32" s="4"/>
      <c r="D32" s="4"/>
    </row>
    <row r="33" spans="1:4" s="2" customFormat="1" ht="12.75">
      <c r="A33" s="9" t="s">
        <v>45</v>
      </c>
      <c r="C33" s="4"/>
      <c r="D33" s="4"/>
    </row>
    <row r="34" spans="1:4" s="2" customFormat="1" ht="12.75">
      <c r="A34" s="4"/>
      <c r="C34" s="4"/>
      <c r="D34" s="4"/>
    </row>
    <row r="35" spans="1:4" s="2" customFormat="1" ht="16.5" customHeight="1">
      <c r="A35" s="4" t="s">
        <v>97</v>
      </c>
      <c r="C35" s="4">
        <v>858813</v>
      </c>
      <c r="D35" s="4">
        <f>-615621</f>
        <v>-615621</v>
      </c>
    </row>
    <row r="36" spans="1:4" s="2" customFormat="1" ht="12.75">
      <c r="A36" s="4"/>
      <c r="C36" s="4"/>
      <c r="D36" s="4"/>
    </row>
    <row r="37" spans="1:4" s="2" customFormat="1" ht="12.75">
      <c r="A37" s="3" t="s">
        <v>105</v>
      </c>
      <c r="C37" s="3">
        <f>SUM(C34:C36)</f>
        <v>858813</v>
      </c>
      <c r="D37" s="3">
        <f>SUM(D34:D36)</f>
        <v>-615621</v>
      </c>
    </row>
    <row r="38" spans="1:4" s="6" customFormat="1" ht="6.75" thickBot="1">
      <c r="A38" s="5"/>
      <c r="C38" s="5"/>
      <c r="D38" s="5"/>
    </row>
    <row r="39" spans="1:4" s="2" customFormat="1" ht="12.75">
      <c r="A39" s="4"/>
      <c r="C39" s="4"/>
      <c r="D39" s="4"/>
    </row>
    <row r="40" spans="1:4" s="2" customFormat="1" ht="12.75">
      <c r="A40" s="3" t="s">
        <v>46</v>
      </c>
      <c r="C40" s="3">
        <f>C29+C37</f>
        <v>3051929</v>
      </c>
      <c r="D40" s="3">
        <f>D29+D37</f>
        <v>1131338</v>
      </c>
    </row>
    <row r="41" spans="1:4" s="6" customFormat="1" ht="6.75" thickBot="1">
      <c r="A41" s="8"/>
      <c r="C41" s="8"/>
      <c r="D41" s="8"/>
    </row>
    <row r="42" ht="13.5" thickTop="1"/>
    <row r="43" ht="12.75">
      <c r="A43" s="79" t="s">
        <v>106</v>
      </c>
    </row>
    <row r="44" spans="1:4" ht="12.75">
      <c r="A44" t="s">
        <v>47</v>
      </c>
      <c r="C44" s="3">
        <v>1070</v>
      </c>
      <c r="D44" s="3">
        <v>852</v>
      </c>
    </row>
    <row r="45" spans="3:4" ht="12.75">
      <c r="C45" s="75"/>
      <c r="D45" s="7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GridLines="0" zoomScale="90" zoomScaleNormal="90" zoomScalePageLayoutView="0" workbookViewId="0" topLeftCell="A1">
      <selection activeCell="H18" sqref="H18"/>
    </sheetView>
  </sheetViews>
  <sheetFormatPr defaultColWidth="9.140625" defaultRowHeight="12.75"/>
  <cols>
    <col min="1" max="1" width="44.28125" style="15" bestFit="1" customWidth="1"/>
    <col min="2" max="2" width="16.7109375" style="15" bestFit="1" customWidth="1"/>
    <col min="3" max="4" width="13.7109375" style="15" customWidth="1"/>
    <col min="5" max="5" width="16.28125" style="15" bestFit="1" customWidth="1"/>
    <col min="6" max="6" width="13.140625" style="15" customWidth="1"/>
    <col min="7" max="7" width="11.00390625" style="15" bestFit="1" customWidth="1"/>
    <col min="8" max="16384" width="9.140625" style="15" customWidth="1"/>
  </cols>
  <sheetData>
    <row r="1" ht="15" customHeight="1">
      <c r="A1" s="1" t="s">
        <v>48</v>
      </c>
    </row>
    <row r="2" ht="15" customHeight="1"/>
    <row r="4" spans="1:7" ht="48.75" thickBot="1">
      <c r="A4" s="16" t="s">
        <v>49</v>
      </c>
      <c r="B4" s="17" t="s">
        <v>50</v>
      </c>
      <c r="C4" s="18" t="s">
        <v>51</v>
      </c>
      <c r="D4" s="18" t="s">
        <v>98</v>
      </c>
      <c r="E4" s="18" t="s">
        <v>18</v>
      </c>
      <c r="F4" s="18" t="s">
        <v>52</v>
      </c>
      <c r="G4" s="17" t="s">
        <v>53</v>
      </c>
    </row>
    <row r="5" spans="1:7" s="23" customFormat="1" ht="6">
      <c r="A5" s="21"/>
      <c r="B5" s="22"/>
      <c r="C5" s="22"/>
      <c r="D5" s="22"/>
      <c r="E5" s="22"/>
      <c r="F5" s="22"/>
      <c r="G5" s="22"/>
    </row>
    <row r="6" spans="1:7" s="24" customFormat="1" ht="12">
      <c r="A6" s="19" t="s">
        <v>107</v>
      </c>
      <c r="B6" s="19">
        <v>159988</v>
      </c>
      <c r="C6" s="19">
        <v>1282401</v>
      </c>
      <c r="D6" s="19">
        <v>2484297</v>
      </c>
      <c r="E6" s="19">
        <v>-53904</v>
      </c>
      <c r="F6" s="19">
        <v>10755418</v>
      </c>
      <c r="G6" s="19">
        <f>SUM(B6:F6)</f>
        <v>14628200</v>
      </c>
    </row>
    <row r="7" spans="1:7" s="23" customFormat="1" ht="6.75" thickBot="1">
      <c r="A7" s="25"/>
      <c r="B7" s="25"/>
      <c r="C7" s="25"/>
      <c r="D7" s="25"/>
      <c r="E7" s="25"/>
      <c r="F7" s="25"/>
      <c r="G7" s="25"/>
    </row>
    <row r="8" spans="1:7" s="23" customFormat="1" ht="6.75" hidden="1" thickBot="1">
      <c r="A8" s="25"/>
      <c r="B8" s="25"/>
      <c r="C8" s="25"/>
      <c r="D8" s="25"/>
      <c r="E8" s="25"/>
      <c r="F8" s="25"/>
      <c r="G8" s="25"/>
    </row>
    <row r="9" spans="1:7" ht="12">
      <c r="A9" s="20"/>
      <c r="B9" s="20"/>
      <c r="C9" s="20"/>
      <c r="D9" s="20"/>
      <c r="E9" s="20"/>
      <c r="F9" s="20"/>
      <c r="G9" s="20"/>
    </row>
    <row r="10" spans="1:7" ht="12">
      <c r="A10" s="20" t="s">
        <v>90</v>
      </c>
      <c r="B10" s="20">
        <f>SUM(B8:B9)</f>
        <v>0</v>
      </c>
      <c r="C10" s="20">
        <f>SUM(C8:C9)</f>
        <v>0</v>
      </c>
      <c r="D10" s="20">
        <v>0</v>
      </c>
      <c r="E10" s="20">
        <f>SUM(E8:E9)</f>
        <v>0</v>
      </c>
      <c r="F10" s="20">
        <v>1559670</v>
      </c>
      <c r="G10" s="20">
        <f>SUM(F10)</f>
        <v>1559670</v>
      </c>
    </row>
    <row r="11" spans="1:7" ht="12">
      <c r="A11" s="20" t="s">
        <v>89</v>
      </c>
      <c r="B11" s="20">
        <v>0</v>
      </c>
      <c r="C11" s="20">
        <v>0</v>
      </c>
      <c r="D11" s="20">
        <v>51581</v>
      </c>
      <c r="E11" s="20">
        <v>13440</v>
      </c>
      <c r="F11" s="20"/>
      <c r="G11" s="20">
        <f>SUM(B11:F11)</f>
        <v>65021</v>
      </c>
    </row>
    <row r="12" spans="1:7" s="23" customFormat="1" ht="6">
      <c r="A12" s="21"/>
      <c r="B12" s="22"/>
      <c r="C12" s="22"/>
      <c r="D12" s="22"/>
      <c r="E12" s="22"/>
      <c r="F12" s="22"/>
      <c r="G12" s="22"/>
    </row>
    <row r="13" spans="1:7" s="23" customFormat="1" ht="18.75" customHeight="1">
      <c r="A13" s="80" t="s">
        <v>57</v>
      </c>
      <c r="B13" s="80">
        <f aca="true" t="shared" si="0" ref="B13:G13">SUM(B10:B11)</f>
        <v>0</v>
      </c>
      <c r="C13" s="80">
        <f t="shared" si="0"/>
        <v>0</v>
      </c>
      <c r="D13" s="80">
        <f t="shared" si="0"/>
        <v>51581</v>
      </c>
      <c r="E13" s="80">
        <f t="shared" si="0"/>
        <v>13440</v>
      </c>
      <c r="F13" s="80">
        <f t="shared" si="0"/>
        <v>1559670</v>
      </c>
      <c r="G13" s="80">
        <f t="shared" si="0"/>
        <v>1624691</v>
      </c>
    </row>
    <row r="14" spans="1:7" ht="12">
      <c r="A14" s="20"/>
      <c r="B14" s="20"/>
      <c r="C14" s="20"/>
      <c r="D14" s="20"/>
      <c r="E14" s="20"/>
      <c r="F14" s="20"/>
      <c r="G14" s="20"/>
    </row>
    <row r="15" spans="1:7" ht="12">
      <c r="A15" s="20" t="s">
        <v>55</v>
      </c>
      <c r="B15" s="20">
        <v>0</v>
      </c>
      <c r="C15" s="20">
        <v>0</v>
      </c>
      <c r="D15" s="20"/>
      <c r="E15" s="20">
        <v>0</v>
      </c>
      <c r="F15" s="20">
        <v>-215820</v>
      </c>
      <c r="G15" s="20">
        <f>SUM(B15:F15)</f>
        <v>-215820</v>
      </c>
    </row>
    <row r="16" spans="1:7" s="23" customFormat="1" ht="6.75" thickBot="1">
      <c r="A16" s="25"/>
      <c r="B16" s="25"/>
      <c r="C16" s="25"/>
      <c r="D16" s="25"/>
      <c r="E16" s="25"/>
      <c r="F16" s="25"/>
      <c r="G16" s="25"/>
    </row>
    <row r="17" spans="1:7" ht="12">
      <c r="A17" s="20"/>
      <c r="B17" s="20"/>
      <c r="C17" s="20"/>
      <c r="D17" s="20"/>
      <c r="E17" s="20"/>
      <c r="F17" s="20"/>
      <c r="G17" s="20"/>
    </row>
    <row r="18" spans="1:8" ht="12">
      <c r="A18" s="19" t="s">
        <v>108</v>
      </c>
      <c r="B18" s="19">
        <f aca="true" t="shared" si="1" ref="B18:G18">B6+B13+B15</f>
        <v>159988</v>
      </c>
      <c r="C18" s="19">
        <f t="shared" si="1"/>
        <v>1282401</v>
      </c>
      <c r="D18" s="19">
        <f t="shared" si="1"/>
        <v>2535878</v>
      </c>
      <c r="E18" s="19">
        <f t="shared" si="1"/>
        <v>-40464</v>
      </c>
      <c r="F18" s="19">
        <f t="shared" si="1"/>
        <v>12099268</v>
      </c>
      <c r="G18" s="19">
        <f t="shared" si="1"/>
        <v>16037071</v>
      </c>
      <c r="H18" s="15">
        <f>G22-Баланс!C42</f>
        <v>0</v>
      </c>
    </row>
    <row r="19" spans="1:7" ht="19.5" customHeight="1">
      <c r="A19" s="19" t="s">
        <v>54</v>
      </c>
      <c r="B19" s="19">
        <v>0</v>
      </c>
      <c r="C19" s="19">
        <v>0</v>
      </c>
      <c r="D19" s="19">
        <v>0</v>
      </c>
      <c r="E19" s="19">
        <v>0</v>
      </c>
      <c r="F19" s="19">
        <v>-84288</v>
      </c>
      <c r="G19" s="19">
        <f>SUM(B19:F19)</f>
        <v>-84288</v>
      </c>
    </row>
    <row r="20" spans="1:7" s="23" customFormat="1" ht="6.75" thickBot="1">
      <c r="A20" s="25"/>
      <c r="B20" s="25"/>
      <c r="C20" s="25"/>
      <c r="D20" s="25"/>
      <c r="E20" s="25"/>
      <c r="F20" s="25"/>
      <c r="G20" s="25"/>
    </row>
    <row r="21" spans="1:7" s="23" customFormat="1" ht="12" customHeight="1">
      <c r="A21" s="81"/>
      <c r="B21" s="81"/>
      <c r="C21" s="81"/>
      <c r="D21" s="81"/>
      <c r="E21" s="81"/>
      <c r="F21" s="81"/>
      <c r="G21" s="81"/>
    </row>
    <row r="22" spans="1:7" s="23" customFormat="1" ht="20.25" customHeight="1">
      <c r="A22" s="19" t="s">
        <v>109</v>
      </c>
      <c r="B22" s="19">
        <f aca="true" t="shared" si="2" ref="B22:G22">B18+B19</f>
        <v>159988</v>
      </c>
      <c r="C22" s="19">
        <f t="shared" si="2"/>
        <v>1282401</v>
      </c>
      <c r="D22" s="19">
        <f t="shared" si="2"/>
        <v>2535878</v>
      </c>
      <c r="E22" s="19">
        <f t="shared" si="2"/>
        <v>-40464</v>
      </c>
      <c r="F22" s="19">
        <f t="shared" si="2"/>
        <v>12014980</v>
      </c>
      <c r="G22" s="19">
        <f t="shared" si="2"/>
        <v>15952783</v>
      </c>
    </row>
    <row r="23" spans="1:7" ht="14.25" customHeight="1">
      <c r="A23" s="20" t="s">
        <v>114</v>
      </c>
      <c r="B23" s="20">
        <v>0</v>
      </c>
      <c r="C23" s="20">
        <v>0</v>
      </c>
      <c r="D23" s="20"/>
      <c r="E23" s="20">
        <v>0</v>
      </c>
      <c r="F23" s="26">
        <f>фхд!C29</f>
        <v>2193116</v>
      </c>
      <c r="G23" s="20">
        <f>SUM(B23:F23)</f>
        <v>2193116</v>
      </c>
    </row>
    <row r="24" spans="1:7" ht="21" customHeight="1">
      <c r="A24" s="20" t="s">
        <v>56</v>
      </c>
      <c r="B24" s="20">
        <v>0</v>
      </c>
      <c r="C24" s="20">
        <v>0</v>
      </c>
      <c r="D24" s="20">
        <f>фхд!C37</f>
        <v>858813</v>
      </c>
      <c r="E24" s="20"/>
      <c r="F24" s="20"/>
      <c r="G24" s="20">
        <f>SUM(B24:F24)</f>
        <v>858813</v>
      </c>
    </row>
    <row r="25" spans="1:7" s="23" customFormat="1" ht="6.75" thickBot="1">
      <c r="A25" s="25"/>
      <c r="B25" s="25"/>
      <c r="C25" s="25"/>
      <c r="D25" s="25"/>
      <c r="E25" s="25"/>
      <c r="F25" s="25"/>
      <c r="G25" s="25"/>
    </row>
    <row r="26" spans="1:7" ht="12">
      <c r="A26" s="20"/>
      <c r="B26" s="20"/>
      <c r="C26" s="20"/>
      <c r="D26" s="20"/>
      <c r="E26" s="20"/>
      <c r="F26" s="20"/>
      <c r="G26" s="20"/>
    </row>
    <row r="27" spans="1:7" s="24" customFormat="1" ht="12">
      <c r="A27" s="19" t="s">
        <v>57</v>
      </c>
      <c r="B27" s="19">
        <f>SUM(B23:B26)</f>
        <v>0</v>
      </c>
      <c r="C27" s="19">
        <f>SUM(C23:C26)</f>
        <v>0</v>
      </c>
      <c r="D27" s="19">
        <f>SUM(D23:D26)</f>
        <v>858813</v>
      </c>
      <c r="E27" s="19">
        <f>SUM(E23:E26)</f>
        <v>0</v>
      </c>
      <c r="F27" s="19">
        <f>SUM(F23:F26)</f>
        <v>2193116</v>
      </c>
      <c r="G27" s="19">
        <f>G23+G24</f>
        <v>3051929</v>
      </c>
    </row>
    <row r="28" spans="1:7" s="23" customFormat="1" ht="6.75" thickBot="1">
      <c r="A28" s="25"/>
      <c r="B28" s="25"/>
      <c r="C28" s="25"/>
      <c r="D28" s="25"/>
      <c r="E28" s="25"/>
      <c r="F28" s="25"/>
      <c r="G28" s="25"/>
    </row>
    <row r="29" spans="1:7" ht="12">
      <c r="A29" s="20"/>
      <c r="B29" s="20"/>
      <c r="C29" s="20"/>
      <c r="D29" s="20"/>
      <c r="E29" s="20"/>
      <c r="F29" s="20"/>
      <c r="G29" s="20"/>
    </row>
    <row r="30" spans="1:7" ht="12">
      <c r="A30" s="20" t="s">
        <v>55</v>
      </c>
      <c r="B30" s="20">
        <v>0</v>
      </c>
      <c r="C30" s="20">
        <v>0</v>
      </c>
      <c r="D30" s="20"/>
      <c r="E30" s="20">
        <v>0</v>
      </c>
      <c r="F30" s="20">
        <v>0</v>
      </c>
      <c r="G30" s="20">
        <f>SUM(B30:F30)</f>
        <v>0</v>
      </c>
    </row>
    <row r="31" spans="1:7" s="23" customFormat="1" ht="6.75" thickBot="1">
      <c r="A31" s="25"/>
      <c r="B31" s="25"/>
      <c r="C31" s="25"/>
      <c r="D31" s="25"/>
      <c r="E31" s="25"/>
      <c r="F31" s="25"/>
      <c r="G31" s="25"/>
    </row>
    <row r="32" spans="1:7" ht="12">
      <c r="A32" s="20"/>
      <c r="B32" s="20"/>
      <c r="C32" s="20"/>
      <c r="D32" s="20"/>
      <c r="E32" s="20"/>
      <c r="F32" s="20"/>
      <c r="G32" s="20"/>
    </row>
    <row r="33" spans="1:8" ht="12">
      <c r="A33" s="19" t="s">
        <v>115</v>
      </c>
      <c r="B33" s="19">
        <f aca="true" t="shared" si="3" ref="B33:G33">B22+B27+B30</f>
        <v>159988</v>
      </c>
      <c r="C33" s="19">
        <f t="shared" si="3"/>
        <v>1282401</v>
      </c>
      <c r="D33" s="19">
        <f t="shared" si="3"/>
        <v>3394691</v>
      </c>
      <c r="E33" s="19">
        <f t="shared" si="3"/>
        <v>-40464</v>
      </c>
      <c r="F33" s="19">
        <f t="shared" si="3"/>
        <v>14208096</v>
      </c>
      <c r="G33" s="19">
        <f t="shared" si="3"/>
        <v>19004712</v>
      </c>
      <c r="H33" s="26"/>
    </row>
    <row r="34" spans="1:7" s="23" customFormat="1" ht="6.75" thickBot="1">
      <c r="A34" s="25"/>
      <c r="B34" s="25"/>
      <c r="C34" s="25"/>
      <c r="D34" s="25"/>
      <c r="E34" s="25"/>
      <c r="F34" s="25"/>
      <c r="G34" s="25"/>
    </row>
    <row r="35" spans="1:7" ht="12">
      <c r="A35" s="20"/>
      <c r="B35" s="20"/>
      <c r="C35" s="20"/>
      <c r="D35" s="20"/>
      <c r="E35" s="20"/>
      <c r="F35" s="20"/>
      <c r="G35" s="20"/>
    </row>
    <row r="36" spans="6:7" ht="12">
      <c r="F36" s="77">
        <f>F33-Баланс!B39</f>
        <v>0</v>
      </c>
      <c r="G36" s="77">
        <f>G33-Баланс!B42</f>
        <v>0.4888099990785122</v>
      </c>
    </row>
    <row r="37" ht="12">
      <c r="F37" s="27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9"/>
  <sheetViews>
    <sheetView showGridLines="0" zoomScale="90" zoomScaleNormal="90" zoomScalePageLayoutView="0" workbookViewId="0" topLeftCell="A1">
      <selection activeCell="B52" sqref="B52"/>
    </sheetView>
  </sheetViews>
  <sheetFormatPr defaultColWidth="9.140625" defaultRowHeight="12.75"/>
  <cols>
    <col min="1" max="1" width="57.8515625" style="28" customWidth="1"/>
    <col min="2" max="2" width="16.8515625" style="28" customWidth="1"/>
    <col min="3" max="3" width="15.7109375" style="28" customWidth="1"/>
    <col min="4" max="16384" width="9.140625" style="28" customWidth="1"/>
  </cols>
  <sheetData>
    <row r="1" ht="15">
      <c r="A1" s="1" t="s">
        <v>58</v>
      </c>
    </row>
    <row r="6" spans="1:3" s="31" customFormat="1" ht="12.75" thickBot="1">
      <c r="A6" s="29" t="s">
        <v>59</v>
      </c>
      <c r="B6" s="30" t="s">
        <v>117</v>
      </c>
      <c r="C6" s="30" t="s">
        <v>116</v>
      </c>
    </row>
    <row r="7" spans="1:3" s="34" customFormat="1" ht="12">
      <c r="A7" s="32"/>
      <c r="B7" s="33"/>
      <c r="C7" s="33"/>
    </row>
    <row r="8" spans="1:3" s="34" customFormat="1" ht="12">
      <c r="A8" s="35" t="s">
        <v>60</v>
      </c>
      <c r="B8" s="36"/>
      <c r="C8" s="36"/>
    </row>
    <row r="9" spans="1:3" ht="12">
      <c r="A9" s="36"/>
      <c r="B9" s="36"/>
      <c r="C9" s="36"/>
    </row>
    <row r="10" spans="1:3" ht="12">
      <c r="A10" s="36" t="s">
        <v>61</v>
      </c>
      <c r="B10" s="37"/>
      <c r="C10" s="37"/>
    </row>
    <row r="11" spans="1:3" ht="12">
      <c r="A11" s="36" t="s">
        <v>62</v>
      </c>
      <c r="B11" s="37">
        <v>18846411</v>
      </c>
      <c r="C11" s="37">
        <v>13580697</v>
      </c>
    </row>
    <row r="12" spans="1:3" ht="12">
      <c r="A12" s="36" t="s">
        <v>63</v>
      </c>
      <c r="B12" s="37"/>
      <c r="C12" s="37"/>
    </row>
    <row r="13" spans="1:3" ht="12">
      <c r="A13" s="36" t="s">
        <v>70</v>
      </c>
      <c r="B13" s="37">
        <v>84458</v>
      </c>
      <c r="C13" s="37">
        <v>16866</v>
      </c>
    </row>
    <row r="14" spans="1:3" ht="12">
      <c r="A14" s="36" t="s">
        <v>99</v>
      </c>
      <c r="B14" s="76" t="s">
        <v>91</v>
      </c>
      <c r="C14" s="76" t="s">
        <v>91</v>
      </c>
    </row>
    <row r="15" spans="1:3" ht="12">
      <c r="A15" s="36" t="s">
        <v>100</v>
      </c>
      <c r="B15" s="37">
        <v>1020707</v>
      </c>
      <c r="C15" s="76">
        <v>472226</v>
      </c>
    </row>
    <row r="16" spans="1:3" ht="12">
      <c r="A16" s="36"/>
      <c r="B16" s="37"/>
      <c r="C16" s="37"/>
    </row>
    <row r="17" spans="1:3" ht="12">
      <c r="A17" s="36" t="s">
        <v>64</v>
      </c>
      <c r="B17" s="37"/>
      <c r="C17" s="37"/>
    </row>
    <row r="18" spans="1:3" ht="12">
      <c r="A18" s="36" t="s">
        <v>65</v>
      </c>
      <c r="B18" s="28">
        <f>-9230290</f>
        <v>-9230290</v>
      </c>
      <c r="C18" s="28">
        <f>-7644601</f>
        <v>-7644601</v>
      </c>
    </row>
    <row r="19" spans="1:3" ht="12">
      <c r="A19" s="36" t="s">
        <v>66</v>
      </c>
      <c r="B19" s="28">
        <f>-2207376</f>
        <v>-2207376</v>
      </c>
      <c r="C19" s="28">
        <f>-1964248</f>
        <v>-1964248</v>
      </c>
    </row>
    <row r="20" spans="1:3" ht="12">
      <c r="A20" s="36" t="s">
        <v>67</v>
      </c>
      <c r="B20" s="28">
        <f>-2573935</f>
        <v>-2573935</v>
      </c>
      <c r="C20" s="28">
        <f>-1585775</f>
        <v>-1585775</v>
      </c>
    </row>
    <row r="21" spans="1:3" ht="12">
      <c r="A21" s="36" t="s">
        <v>68</v>
      </c>
      <c r="B21" s="28">
        <f>-4827975</f>
        <v>-4827975</v>
      </c>
      <c r="C21" s="28">
        <f>-3911023</f>
        <v>-3911023</v>
      </c>
    </row>
    <row r="22" spans="1:3" ht="12">
      <c r="A22" s="36" t="s">
        <v>69</v>
      </c>
      <c r="B22" s="28">
        <f>-853858</f>
        <v>-853858</v>
      </c>
      <c r="C22" s="28">
        <f>-1003713</f>
        <v>-1003713</v>
      </c>
    </row>
    <row r="23" spans="1:3" ht="12">
      <c r="A23" s="36" t="s">
        <v>70</v>
      </c>
      <c r="B23" s="28">
        <f>-688811</f>
        <v>-688811</v>
      </c>
      <c r="C23" s="28">
        <f>-652095</f>
        <v>-652095</v>
      </c>
    </row>
    <row r="24" spans="1:3" ht="12.75" thickBot="1">
      <c r="A24" s="38"/>
      <c r="B24" s="38"/>
      <c r="C24" s="38"/>
    </row>
    <row r="25" spans="1:3" ht="12">
      <c r="A25" s="35"/>
      <c r="B25" s="36"/>
      <c r="C25" s="36"/>
    </row>
    <row r="26" spans="1:3" ht="12">
      <c r="A26" s="35" t="s">
        <v>71</v>
      </c>
      <c r="B26" s="82">
        <f>SUM(B11:B23)</f>
        <v>-430669</v>
      </c>
      <c r="C26" s="82">
        <f>SUM(C11:C23)</f>
        <v>-2691666</v>
      </c>
    </row>
    <row r="27" spans="1:3" ht="12">
      <c r="A27" s="35" t="s">
        <v>72</v>
      </c>
      <c r="B27" s="82"/>
      <c r="C27" s="82"/>
    </row>
    <row r="28" spans="1:3" ht="12.75" thickBot="1">
      <c r="A28" s="39"/>
      <c r="B28" s="39"/>
      <c r="C28" s="39"/>
    </row>
    <row r="29" spans="1:3" ht="12">
      <c r="A29" s="35"/>
      <c r="B29" s="36"/>
      <c r="C29" s="36"/>
    </row>
    <row r="30" spans="1:3" ht="12">
      <c r="A30" s="35" t="s">
        <v>73</v>
      </c>
      <c r="B30" s="36"/>
      <c r="C30" s="36"/>
    </row>
    <row r="31" spans="1:3" ht="12">
      <c r="A31" s="36"/>
      <c r="B31" s="36"/>
      <c r="C31" s="36"/>
    </row>
    <row r="32" spans="1:3" ht="12">
      <c r="A32" s="36" t="s">
        <v>74</v>
      </c>
      <c r="B32" s="28">
        <f>-4042521</f>
        <v>-4042521</v>
      </c>
      <c r="C32" s="28">
        <f>-1398120</f>
        <v>-1398120</v>
      </c>
    </row>
    <row r="33" spans="1:3" ht="24">
      <c r="A33" s="36" t="s">
        <v>110</v>
      </c>
      <c r="B33" s="28">
        <f>-13939</f>
        <v>-13939</v>
      </c>
      <c r="C33" s="28">
        <f>-9708</f>
        <v>-9708</v>
      </c>
    </row>
    <row r="34" spans="1:3" ht="12.75" thickBot="1">
      <c r="A34" s="38"/>
      <c r="B34" s="38"/>
      <c r="C34" s="38"/>
    </row>
    <row r="35" spans="1:3" ht="12">
      <c r="A35" s="35"/>
      <c r="B35" s="36"/>
      <c r="C35" s="36"/>
    </row>
    <row r="36" spans="1:3" ht="24">
      <c r="A36" s="35" t="s">
        <v>75</v>
      </c>
      <c r="B36" s="19">
        <f>SUM(B32:B33)</f>
        <v>-4056460</v>
      </c>
      <c r="C36" s="19">
        <f>SUM(C32:C33)</f>
        <v>-1407828</v>
      </c>
    </row>
    <row r="37" spans="1:3" ht="12.75" thickBot="1">
      <c r="A37" s="39"/>
      <c r="B37" s="39"/>
      <c r="C37" s="38"/>
    </row>
    <row r="38" spans="1:3" ht="12">
      <c r="A38" s="35"/>
      <c r="B38" s="36"/>
      <c r="C38" s="36"/>
    </row>
    <row r="39" spans="1:3" ht="12">
      <c r="A39" s="35" t="s">
        <v>76</v>
      </c>
      <c r="B39" s="36"/>
      <c r="C39" s="36"/>
    </row>
    <row r="40" spans="1:3" ht="12">
      <c r="A40" s="36"/>
      <c r="B40" s="36"/>
      <c r="C40" s="36"/>
    </row>
    <row r="41" spans="1:3" ht="12">
      <c r="A41" s="36" t="s">
        <v>77</v>
      </c>
      <c r="B41" s="72">
        <v>7771130</v>
      </c>
      <c r="C41" s="72">
        <v>9027486</v>
      </c>
    </row>
    <row r="42" spans="1:3" ht="12">
      <c r="A42" s="36" t="s">
        <v>78</v>
      </c>
      <c r="B42" s="28">
        <f>-7201545</f>
        <v>-7201545</v>
      </c>
      <c r="C42" s="28">
        <f>-1978099</f>
        <v>-1978099</v>
      </c>
    </row>
    <row r="43" spans="1:3" ht="12">
      <c r="A43" s="36" t="s">
        <v>79</v>
      </c>
      <c r="B43" s="28">
        <f>-452</f>
        <v>-452</v>
      </c>
      <c r="C43" s="28">
        <f>-313</f>
        <v>-313</v>
      </c>
    </row>
    <row r="44" spans="1:3" ht="12.75" thickBot="1">
      <c r="A44" s="39"/>
      <c r="B44" s="38"/>
      <c r="C44" s="38"/>
    </row>
    <row r="45" spans="1:3" ht="12">
      <c r="A45" s="35"/>
      <c r="B45" s="35"/>
      <c r="C45" s="35"/>
    </row>
    <row r="46" spans="1:3" ht="12">
      <c r="A46" s="35" t="s">
        <v>80</v>
      </c>
      <c r="B46" s="84">
        <f>SUM(B41:B43)</f>
        <v>569133</v>
      </c>
      <c r="C46" s="85">
        <f>SUM(C41:C43)</f>
        <v>7049074</v>
      </c>
    </row>
    <row r="47" spans="1:3" ht="12">
      <c r="A47" s="35" t="s">
        <v>81</v>
      </c>
      <c r="B47" s="84"/>
      <c r="C47" s="85"/>
    </row>
    <row r="48" spans="1:3" ht="12.75" thickBot="1">
      <c r="A48" s="39"/>
      <c r="B48" s="39"/>
      <c r="C48" s="39"/>
    </row>
    <row r="49" spans="1:3" ht="12">
      <c r="A49" s="36"/>
      <c r="B49" s="36"/>
      <c r="C49" s="36"/>
    </row>
    <row r="50" spans="1:3" ht="24">
      <c r="A50" s="35" t="s">
        <v>82</v>
      </c>
      <c r="B50" s="83">
        <f>B26+B36+B46</f>
        <v>-3917996</v>
      </c>
      <c r="C50" s="86">
        <f>C26+C36+C46</f>
        <v>2949580</v>
      </c>
    </row>
    <row r="51" spans="1:3" ht="12">
      <c r="A51" s="36"/>
      <c r="B51" s="83"/>
      <c r="C51" s="86"/>
    </row>
    <row r="52" spans="1:3" ht="12">
      <c r="A52" s="36" t="s">
        <v>83</v>
      </c>
      <c r="B52" s="37">
        <f>Баланс!C23</f>
        <v>5963108</v>
      </c>
      <c r="C52" s="37">
        <v>879670</v>
      </c>
    </row>
    <row r="53" spans="1:3" ht="12.75" thickBot="1">
      <c r="A53" s="38"/>
      <c r="B53" s="38"/>
      <c r="C53" s="38"/>
    </row>
    <row r="54" spans="1:3" ht="12">
      <c r="A54" s="35"/>
      <c r="B54" s="36"/>
      <c r="C54" s="36"/>
    </row>
    <row r="55" spans="1:3" ht="12">
      <c r="A55" s="35" t="s">
        <v>84</v>
      </c>
      <c r="B55" s="40">
        <f>B50+B52</f>
        <v>2045112</v>
      </c>
      <c r="C55" s="41">
        <f>SUM(C50:C52)</f>
        <v>3829250</v>
      </c>
    </row>
    <row r="56" spans="1:3" ht="12.75" thickBot="1">
      <c r="A56" s="42"/>
      <c r="B56" s="43"/>
      <c r="C56" s="43"/>
    </row>
    <row r="57" spans="1:3" ht="13.5" thickTop="1">
      <c r="A57" s="44"/>
      <c r="B57" s="45">
        <f>B55-Баланс!B23</f>
        <v>0</v>
      </c>
      <c r="C57"/>
    </row>
    <row r="59" ht="12">
      <c r="B59" s="28">
        <f>B50+B52-B55</f>
        <v>0</v>
      </c>
    </row>
    <row r="81" s="46" customFormat="1" ht="12"/>
  </sheetData>
  <sheetProtection/>
  <mergeCells count="4">
    <mergeCell ref="B50:B51"/>
    <mergeCell ref="B46:B47"/>
    <mergeCell ref="C46:C47"/>
    <mergeCell ref="C50:C51"/>
  </mergeCells>
  <printOptions/>
  <pageMargins left="0.7" right="0.7" top="0.75" bottom="0.75" header="0.3" footer="0.3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buh3</dc:creator>
  <cp:keywords/>
  <dc:description/>
  <cp:lastModifiedBy>finans2</cp:lastModifiedBy>
  <cp:lastPrinted>2018-07-27T10:16:23Z</cp:lastPrinted>
  <dcterms:created xsi:type="dcterms:W3CDTF">2014-07-30T08:42:50Z</dcterms:created>
  <dcterms:modified xsi:type="dcterms:W3CDTF">2018-07-30T06:46:46Z</dcterms:modified>
  <cp:category/>
  <cp:version/>
  <cp:contentType/>
  <cp:contentStatus/>
</cp:coreProperties>
</file>