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0" yWindow="300" windowWidth="15885" windowHeight="5505" activeTab="0"/>
  </bookViews>
  <sheets>
    <sheet name="единый лимит на валют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<sst xmlns="http://schemas.openxmlformats.org/spreadsheetml/2006/main" count="63" uniqueCount="63">
  <si>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USD</t>
  </si>
  <si>
    <t>TOD</t>
  </si>
  <si>
    <t>TOM</t>
  </si>
  <si>
    <t>Обеспечение</t>
  </si>
  <si>
    <t>Дата расчетов</t>
  </si>
  <si>
    <t>SPT</t>
  </si>
  <si>
    <t>Кол. дней от TOD</t>
  </si>
  <si>
    <t>FX_Risk_USD</t>
  </si>
  <si>
    <t>Данные вводятся в желтых ячейках</t>
  </si>
  <si>
    <t>Валютный риск по USD (FXRisk_USD)</t>
  </si>
  <si>
    <t>Процентный риск по USD (IRisk_USD)</t>
  </si>
  <si>
    <t>Риск-параметры по USD</t>
  </si>
  <si>
    <t>FX-риск на 1 USD</t>
  </si>
  <si>
    <t>Нетто-позиции по  заключенным сделкам с USD (вводятся со знаками)</t>
  </si>
  <si>
    <t>% риск на 1 USD</t>
  </si>
  <si>
    <t>Процентный риск Netto_USD</t>
  </si>
  <si>
    <t xml:space="preserve">USD </t>
  </si>
  <si>
    <t>swp-курс от базового</t>
  </si>
  <si>
    <t>валютный риск</t>
  </si>
  <si>
    <t>процентный риск</t>
  </si>
  <si>
    <t>Collateral</t>
  </si>
  <si>
    <t xml:space="preserve"> discount</t>
  </si>
  <si>
    <t>Итого Нетто за все расч.даты</t>
  </si>
  <si>
    <t>применимая ставка</t>
  </si>
  <si>
    <t>delta для 1-го дня</t>
  </si>
  <si>
    <t xml:space="preserve">мин. Порог </t>
  </si>
  <si>
    <t>доп. дни</t>
  </si>
  <si>
    <t>доп. Ставка</t>
  </si>
  <si>
    <t>Итого дней</t>
  </si>
  <si>
    <t>Инд. Ставка FX</t>
  </si>
  <si>
    <t>нет</t>
  </si>
  <si>
    <t>Маржин. Требования итого</t>
  </si>
  <si>
    <t>Открытая позиция итого</t>
  </si>
  <si>
    <t>возврат в $</t>
  </si>
  <si>
    <t>возврат в KZT</t>
  </si>
  <si>
    <t>Расчетный курс (Форвардный)</t>
  </si>
  <si>
    <t>IR_1W</t>
  </si>
  <si>
    <t>Ставки риска</t>
  </si>
  <si>
    <t>FX_Risk</t>
  </si>
  <si>
    <t>IR_1D</t>
  </si>
  <si>
    <t>IR_1M</t>
  </si>
  <si>
    <t>IR_3M</t>
  </si>
  <si>
    <t>Базовый курс</t>
  </si>
  <si>
    <t>Расчеты для интерполяции ставки процентног риска</t>
  </si>
  <si>
    <t>кол-во дней от ключевых сроков</t>
  </si>
  <si>
    <t>Ставка IR по дате</t>
  </si>
  <si>
    <t>нач. ключевая ставка</t>
  </si>
  <si>
    <t>Рыночная стоимость Netto по USD</t>
  </si>
  <si>
    <t>Netto по USD</t>
  </si>
  <si>
    <t>Netto по KZT</t>
  </si>
  <si>
    <t>MAX сумма для обеспечения в USD</t>
  </si>
  <si>
    <t>ИТОГО Нетто с обеспечением</t>
  </si>
  <si>
    <t xml:space="preserve">Итого FX_Risk </t>
  </si>
  <si>
    <t>Итого IR_Risk</t>
  </si>
  <si>
    <t>SWAP_T1</t>
  </si>
  <si>
    <t>SWAP_T2</t>
  </si>
  <si>
    <t>Расчетная цена СВОП</t>
  </si>
  <si>
    <t>Ставки риска конц</t>
  </si>
  <si>
    <t>Limit_сonc</t>
  </si>
  <si>
    <t>переоценка MTM</t>
  </si>
  <si>
    <t>если применима индивидуальная ставка пишется "да" и устанавливается ставка</t>
  </si>
  <si>
    <t>Единый  лимит (LV)</t>
  </si>
  <si>
    <t>Маржевое обеспеч. (Collateral)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</si>
</sst>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0_ ;[Red]\-#,##0.00\ "/>
    <numFmt numFmtId="177" formatCode="#,##0.0000_ ;[Red]\-#,##0.0000\ "/>
    <numFmt numFmtId="178" formatCode="_-* #,##0.0000_-;\-* #,##0.0000_-;_-* &quot;-&quot;??_-;_-@_-"/>
    <numFmt numFmtId="179" formatCode="0;;&quot;-&quot;;"/>
    <numFmt numFmtId="180" formatCode="0.000000%"/>
    <numFmt numFmtId="181" formatCode="#,##0\ [$KZT];[Red]\-#,##0\ [$KZT]"/>
    <numFmt numFmtId="182" formatCode="_-* #,##0\ _₽_-;\-* #,##0\ _₽_-;_-* &quot;-&quot;??\ _₽_-;_-@_-"/>
    <numFmt numFmtId="183" formatCode="[$$-409]#,##0_ ;[Red]\-[$$-409]#,##0\ "/>
    <numFmt numFmtId="184" formatCode="#,##0.0000\ [$KZT];[Red]\-#,##0.0000\ [$KZT]"/>
    <numFmt numFmtId="185" formatCode="#,##0\ [$KZT];\-#,##0\ [$KZT]"/>
    <numFmt numFmtId="186" formatCode="0.000%"/>
    <numFmt numFmtId="187" formatCode="#,##0\ [$RUB];[Red]\-#,##0\ [$RUB]"/>
    <numFmt numFmtId="188" formatCode="_-* #,##0.000\ _₽_-;\-* #,##0.000\ _₽_-;_-* &quot;-&quot;????\ _₽_-;_-@_-"/>
    <numFmt numFmtId="189" formatCode="[$€-2]\ #,##0;[Red]\-[$€-2]\ #,##0"/>
    <numFmt numFmtId="190" formatCode="#,##0.00\ [$CNY]"/>
    <numFmt numFmtId="191" formatCode="#,##0.000_ ;[Red]\-#,##0.000\ "/>
    <numFmt numFmtId="192" formatCode="_-* #,##0.00000_-;\-* #,##0.00000_-;_-* &quot;-&quot;??_-;_-@_-"/>
    <numFmt numFmtId="193" formatCode="0.00000%"/>
    <numFmt numFmtId="194" formatCode="#,##0.00\ [$KZT];\-#,##0.00\ [$KZT]"/>
    <numFmt numFmtId="195" formatCode="_-* #,##0_-;\-* #,##0_-;_-* &quot;-&quot;??_-;_-@_-"/>
    <numFmt numFmtId="196" formatCode="#,##0.0000000\ [$KZT];[Red]\-#,##0.0000000\ [$KZT]"/>
    <numFmt numFmtId="197" formatCode="[$$-C09]#,##0;\-[$$-C09]#,##0"/>
    <numFmt numFmtId="198" formatCode="_-* #,##0.000000_-;\-* #,##0.000000_-;_-* &quot;-&quot;??_-;_-@_-"/>
    <numFmt numFmtId="199" formatCode="[$-419]d\ mmm\ yy;@"/>
    <numFmt numFmtId="200" formatCode="#,##0.000000_ ;[Red]\-#,##0.000000\ "/>
    <numFmt numFmtId="201" formatCode="#,##0.00\ [$KZT];[Red]\-#,##0.00\ [$KZT]"/>
    <numFmt numFmtId="202" formatCode="0.0000%"/>
    <numFmt numFmtId="203" formatCode="0.0%"/>
    <numFmt numFmtId="204" formatCode="0.0000"/>
    <numFmt numFmtId="205" formatCode="_-* #,##0.0000_р_._-;\-* #,##0.0000_р_._-;_-* &quot;-&quot;????_р_._-;_-@_-"/>
    <numFmt numFmtId="206" formatCode="0.00000"/>
    <numFmt numFmtId="207" formatCode="0.000000"/>
    <numFmt numFmtId="208" formatCode="#,##0\ [$CNY]"/>
    <numFmt numFmtId="209" formatCode="#,##0_ ;[Red]\-#,##0\ "/>
    <numFmt numFmtId="210" formatCode="#,##0_ ;\-#,##0\ "/>
    <numFmt numFmtId="211" formatCode="_-* #,##0.000000_р_._-;\-* #,##0.000000_р_._-;_-* &quot;-&quot;??????_р_._-;_-@_-"/>
    <numFmt numFmtId="212" formatCode="#,##0.0_ ;[Red]\-#,##0.0\ "/>
    <numFmt numFmtId="213" formatCode="[$-FC19]d\ mmmm\ yyyy\ &quot;г.&quot;"/>
    <numFmt numFmtId="214" formatCode="d/m/yy;@"/>
    <numFmt numFmtId="215" formatCode="_-* #,##0.000_-;\-* #,##0.000_-;_-* &quot;-&quot;??_-;_-@_-"/>
    <numFmt numFmtId="216" formatCode="[$$-409]#,##0.0_ ;[Red]\-[$$-409]#,##0.0\ "/>
    <numFmt numFmtId="217" formatCode="[$$-409]#,##0.00_ ;[Red]\-[$$-409]#,##0.00\ "/>
    <numFmt numFmtId="218" formatCode="[$$-409]#,##0.000_ ;[Red]\-[$$-409]#,##0.000\ "/>
    <numFmt numFmtId="219" formatCode="[$$-409]#,##0.0000_ ;[Red]\-[$$-409]#,##0.0000\ "/>
    <numFmt numFmtId="220" formatCode="_-* #,##0.0_-;\-* #,##0.0_-;_-* &quot;-&quot;??_-;_-@_-"/>
    <numFmt numFmtId="221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30"/>
      <name val="Calibri"/>
      <family val="2"/>
    </font>
    <font>
      <b/>
      <i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7"/>
      <name val="Calibri"/>
      <family val="2"/>
    </font>
    <font>
      <i/>
      <sz val="10"/>
      <color indexed="30"/>
      <name val="Calibri"/>
      <family val="2"/>
    </font>
    <font>
      <b/>
      <sz val="10"/>
      <color indexed="36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i/>
      <sz val="10"/>
      <color theme="1"/>
      <name val="Calibri"/>
      <family val="2"/>
    </font>
    <font>
      <b/>
      <sz val="10"/>
      <color rgb="FF22AE43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4"/>
      <name val="Calibri"/>
      <family val="2"/>
    </font>
    <font>
      <b/>
      <sz val="10"/>
      <color rgb="FF00B050"/>
      <name val="Calibri"/>
      <family val="2"/>
    </font>
    <font>
      <i/>
      <sz val="10"/>
      <color rgb="FF0070C0"/>
      <name val="Calibri"/>
      <family val="2"/>
    </font>
    <font>
      <b/>
      <sz val="10"/>
      <color rgb="FF7030A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6" fontId="2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176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83" fontId="22" fillId="0" borderId="0" xfId="0" applyNumberFormat="1" applyFont="1" applyBorder="1" applyAlignment="1">
      <alignment horizontal="right"/>
    </xf>
    <xf numFmtId="176" fontId="20" fillId="0" borderId="0" xfId="0" applyNumberFormat="1" applyFont="1" applyFill="1" applyBorder="1" applyAlignment="1">
      <alignment horizontal="left"/>
    </xf>
    <xf numFmtId="177" fontId="23" fillId="0" borderId="0" xfId="0" applyNumberFormat="1" applyFont="1" applyFill="1" applyBorder="1" applyAlignment="1">
      <alignment horizontal="right"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183" fontId="56" fillId="0" borderId="0" xfId="0" applyNumberFormat="1" applyFont="1" applyBorder="1" applyAlignment="1">
      <alignment horizontal="right"/>
    </xf>
    <xf numFmtId="0" fontId="57" fillId="33" borderId="0" xfId="0" applyFont="1" applyFill="1" applyBorder="1" applyAlignment="1">
      <alignment horizontal="left"/>
    </xf>
    <xf numFmtId="175" fontId="58" fillId="0" borderId="0" xfId="61" applyFont="1" applyFill="1" applyBorder="1" applyAlignment="1">
      <alignment horizontal="left"/>
    </xf>
    <xf numFmtId="191" fontId="20" fillId="33" borderId="0" xfId="0" applyNumberFormat="1" applyFont="1" applyFill="1" applyBorder="1" applyAlignment="1">
      <alignment horizontal="right" vertical="center"/>
    </xf>
    <xf numFmtId="191" fontId="0" fillId="33" borderId="0" xfId="0" applyNumberFormat="1" applyFont="1" applyFill="1" applyBorder="1" applyAlignment="1">
      <alignment/>
    </xf>
    <xf numFmtId="191" fontId="27" fillId="0" borderId="1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right" vertical="center"/>
    </xf>
    <xf numFmtId="175" fontId="0" fillId="33" borderId="0" xfId="61" applyFont="1" applyFill="1" applyAlignment="1">
      <alignment/>
    </xf>
    <xf numFmtId="193" fontId="0" fillId="33" borderId="0" xfId="58" applyNumberFormat="1" applyFont="1" applyFill="1" applyAlignment="1">
      <alignment/>
    </xf>
    <xf numFmtId="10" fontId="53" fillId="33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10" fontId="0" fillId="11" borderId="0" xfId="58" applyNumberFormat="1" applyFont="1" applyFill="1" applyAlignment="1">
      <alignment/>
    </xf>
    <xf numFmtId="180" fontId="0" fillId="11" borderId="0" xfId="58" applyNumberFormat="1" applyFont="1" applyFill="1" applyAlignment="1">
      <alignment/>
    </xf>
    <xf numFmtId="0" fontId="53" fillId="11" borderId="0" xfId="0" applyFont="1" applyFill="1" applyAlignment="1">
      <alignment/>
    </xf>
    <xf numFmtId="10" fontId="0" fillId="11" borderId="0" xfId="58" applyNumberFormat="1" applyFont="1" applyFill="1" applyAlignment="1">
      <alignment/>
    </xf>
    <xf numFmtId="202" fontId="0" fillId="11" borderId="0" xfId="58" applyNumberFormat="1" applyFont="1" applyFill="1" applyAlignment="1">
      <alignment/>
    </xf>
    <xf numFmtId="193" fontId="53" fillId="11" borderId="0" xfId="0" applyNumberFormat="1" applyFont="1" applyFill="1" applyAlignment="1">
      <alignment/>
    </xf>
    <xf numFmtId="0" fontId="59" fillId="0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59" fillId="11" borderId="0" xfId="0" applyFont="1" applyFill="1" applyAlignment="1">
      <alignment wrapText="1"/>
    </xf>
    <xf numFmtId="0" fontId="60" fillId="11" borderId="0" xfId="0" applyFont="1" applyFill="1" applyAlignment="1">
      <alignment wrapText="1"/>
    </xf>
    <xf numFmtId="195" fontId="0" fillId="11" borderId="0" xfId="61" applyNumberFormat="1" applyFont="1" applyFill="1" applyAlignment="1">
      <alignment/>
    </xf>
    <xf numFmtId="0" fontId="45" fillId="11" borderId="0" xfId="0" applyFont="1" applyFill="1" applyAlignment="1">
      <alignment/>
    </xf>
    <xf numFmtId="0" fontId="55" fillId="11" borderId="0" xfId="0" applyFont="1" applyFill="1" applyAlignment="1">
      <alignment wrapText="1"/>
    </xf>
    <xf numFmtId="10" fontId="59" fillId="35" borderId="11" xfId="0" applyNumberFormat="1" applyFont="1" applyFill="1" applyBorder="1" applyAlignment="1">
      <alignment horizontal="right"/>
    </xf>
    <xf numFmtId="10" fontId="59" fillId="35" borderId="1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59" fillId="33" borderId="13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right"/>
    </xf>
    <xf numFmtId="0" fontId="59" fillId="33" borderId="14" xfId="0" applyFont="1" applyFill="1" applyBorder="1" applyAlignment="1">
      <alignment horizontal="right"/>
    </xf>
    <xf numFmtId="185" fontId="59" fillId="0" borderId="15" xfId="0" applyNumberFormat="1" applyFont="1" applyFill="1" applyBorder="1" applyAlignment="1">
      <alignment horizontal="right"/>
    </xf>
    <xf numFmtId="191" fontId="22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right"/>
    </xf>
    <xf numFmtId="191" fontId="59" fillId="33" borderId="16" xfId="0" applyNumberFormat="1" applyFont="1" applyFill="1" applyBorder="1" applyAlignment="1">
      <alignment horizontal="right"/>
    </xf>
    <xf numFmtId="191" fontId="59" fillId="33" borderId="17" xfId="0" applyNumberFormat="1" applyFont="1" applyFill="1" applyBorder="1" applyAlignment="1">
      <alignment horizontal="right"/>
    </xf>
    <xf numFmtId="191" fontId="59" fillId="33" borderId="18" xfId="0" applyNumberFormat="1" applyFont="1" applyFill="1" applyBorder="1" applyAlignment="1">
      <alignment horizontal="right"/>
    </xf>
    <xf numFmtId="181" fontId="22" fillId="33" borderId="19" xfId="0" applyNumberFormat="1" applyFont="1" applyFill="1" applyBorder="1" applyAlignment="1">
      <alignment horizontal="right"/>
    </xf>
    <xf numFmtId="212" fontId="61" fillId="33" borderId="0" xfId="0" applyNumberFormat="1" applyFont="1" applyFill="1" applyAlignment="1">
      <alignment/>
    </xf>
    <xf numFmtId="183" fontId="62" fillId="0" borderId="0" xfId="0" applyNumberFormat="1" applyFont="1" applyFill="1" applyBorder="1" applyAlignment="1">
      <alignment horizontal="right"/>
    </xf>
    <xf numFmtId="0" fontId="59" fillId="33" borderId="20" xfId="0" applyFont="1" applyFill="1" applyBorder="1" applyAlignment="1">
      <alignment/>
    </xf>
    <xf numFmtId="191" fontId="59" fillId="33" borderId="20" xfId="0" applyNumberFormat="1" applyFont="1" applyFill="1" applyBorder="1" applyAlignment="1">
      <alignment/>
    </xf>
    <xf numFmtId="209" fontId="27" fillId="33" borderId="20" xfId="0" applyNumberFormat="1" applyFont="1" applyFill="1" applyBorder="1" applyAlignment="1">
      <alignment horizontal="left"/>
    </xf>
    <xf numFmtId="180" fontId="27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center" wrapText="1"/>
    </xf>
    <xf numFmtId="0" fontId="59" fillId="11" borderId="21" xfId="0" applyFont="1" applyFill="1" applyBorder="1" applyAlignment="1">
      <alignment/>
    </xf>
    <xf numFmtId="0" fontId="0" fillId="11" borderId="21" xfId="0" applyFont="1" applyFill="1" applyBorder="1" applyAlignment="1">
      <alignment/>
    </xf>
    <xf numFmtId="0" fontId="55" fillId="0" borderId="22" xfId="0" applyFont="1" applyFill="1" applyBorder="1" applyAlignment="1">
      <alignment horizontal="left"/>
    </xf>
    <xf numFmtId="184" fontId="27" fillId="0" borderId="23" xfId="0" applyNumberFormat="1" applyFont="1" applyFill="1" applyBorder="1" applyAlignment="1">
      <alignment horizontal="right"/>
    </xf>
    <xf numFmtId="185" fontId="63" fillId="0" borderId="24" xfId="0" applyNumberFormat="1" applyFont="1" applyFill="1" applyBorder="1" applyAlignment="1">
      <alignment horizontal="right"/>
    </xf>
    <xf numFmtId="0" fontId="59" fillId="33" borderId="25" xfId="0" applyFont="1" applyFill="1" applyBorder="1" applyAlignment="1">
      <alignment horizontal="left"/>
    </xf>
    <xf numFmtId="0" fontId="59" fillId="33" borderId="26" xfId="0" applyFont="1" applyFill="1" applyBorder="1" applyAlignment="1">
      <alignment horizontal="right"/>
    </xf>
    <xf numFmtId="176" fontId="27" fillId="0" borderId="27" xfId="0" applyNumberFormat="1" applyFont="1" applyFill="1" applyBorder="1" applyAlignment="1">
      <alignment horizontal="right"/>
    </xf>
    <xf numFmtId="183" fontId="64" fillId="16" borderId="28" xfId="0" applyNumberFormat="1" applyFont="1" applyFill="1" applyBorder="1" applyAlignment="1">
      <alignment horizontal="right"/>
    </xf>
    <xf numFmtId="0" fontId="55" fillId="0" borderId="22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55" fillId="0" borderId="22" xfId="0" applyFont="1" applyFill="1" applyBorder="1" applyAlignment="1">
      <alignment wrapText="1"/>
    </xf>
    <xf numFmtId="0" fontId="55" fillId="0" borderId="25" xfId="0" applyFont="1" applyFill="1" applyBorder="1" applyAlignment="1">
      <alignment wrapText="1"/>
    </xf>
    <xf numFmtId="10" fontId="27" fillId="35" borderId="11" xfId="0" applyNumberFormat="1" applyFont="1" applyFill="1" applyBorder="1" applyAlignment="1">
      <alignment horizontal="right"/>
    </xf>
    <xf numFmtId="10" fontId="27" fillId="35" borderId="30" xfId="0" applyNumberFormat="1" applyFont="1" applyFill="1" applyBorder="1" applyAlignment="1">
      <alignment horizontal="right"/>
    </xf>
    <xf numFmtId="10" fontId="59" fillId="35" borderId="30" xfId="0" applyNumberFormat="1" applyFont="1" applyFill="1" applyBorder="1" applyAlignment="1">
      <alignment horizontal="right"/>
    </xf>
    <xf numFmtId="10" fontId="59" fillId="35" borderId="24" xfId="0" applyNumberFormat="1" applyFont="1" applyFill="1" applyBorder="1" applyAlignment="1">
      <alignment horizontal="right"/>
    </xf>
    <xf numFmtId="180" fontId="27" fillId="0" borderId="31" xfId="0" applyNumberFormat="1" applyFont="1" applyFill="1" applyBorder="1" applyAlignment="1">
      <alignment horizontal="right"/>
    </xf>
    <xf numFmtId="10" fontId="59" fillId="0" borderId="32" xfId="0" applyNumberFormat="1" applyFont="1" applyFill="1" applyBorder="1" applyAlignment="1">
      <alignment horizontal="right"/>
    </xf>
    <xf numFmtId="10" fontId="59" fillId="0" borderId="33" xfId="0" applyNumberFormat="1" applyFont="1" applyFill="1" applyBorder="1" applyAlignment="1">
      <alignment horizontal="right"/>
    </xf>
    <xf numFmtId="0" fontId="0" fillId="33" borderId="34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195" fontId="27" fillId="35" borderId="36" xfId="61" applyNumberFormat="1" applyFont="1" applyFill="1" applyBorder="1" applyAlignment="1">
      <alignment horizontal="right"/>
    </xf>
    <xf numFmtId="10" fontId="59" fillId="35" borderId="37" xfId="0" applyNumberFormat="1" applyFont="1" applyFill="1" applyBorder="1" applyAlignment="1">
      <alignment horizontal="right"/>
    </xf>
    <xf numFmtId="10" fontId="27" fillId="35" borderId="38" xfId="0" applyNumberFormat="1" applyFont="1" applyFill="1" applyBorder="1" applyAlignment="1">
      <alignment horizontal="right"/>
    </xf>
    <xf numFmtId="0" fontId="55" fillId="0" borderId="39" xfId="0" applyFont="1" applyFill="1" applyBorder="1" applyAlignment="1">
      <alignment horizontal="center" wrapText="1"/>
    </xf>
    <xf numFmtId="0" fontId="55" fillId="0" borderId="4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86" fontId="22" fillId="0" borderId="42" xfId="58" applyNumberFormat="1" applyFont="1" applyFill="1" applyBorder="1" applyAlignment="1">
      <alignment/>
    </xf>
    <xf numFmtId="181" fontId="22" fillId="12" borderId="43" xfId="0" applyNumberFormat="1" applyFont="1" applyFill="1" applyBorder="1" applyAlignment="1">
      <alignment horizontal="right"/>
    </xf>
    <xf numFmtId="181" fontId="22" fillId="12" borderId="44" xfId="0" applyNumberFormat="1" applyFont="1" applyFill="1" applyBorder="1" applyAlignment="1">
      <alignment horizontal="right"/>
    </xf>
    <xf numFmtId="191" fontId="22" fillId="12" borderId="10" xfId="0" applyNumberFormat="1" applyFont="1" applyFill="1" applyBorder="1" applyAlignment="1">
      <alignment horizontal="left"/>
    </xf>
    <xf numFmtId="191" fontId="22" fillId="12" borderId="45" xfId="0" applyNumberFormat="1" applyFont="1" applyFill="1" applyBorder="1" applyAlignment="1">
      <alignment horizontal="left"/>
    </xf>
    <xf numFmtId="191" fontId="65" fillId="12" borderId="46" xfId="0" applyNumberFormat="1" applyFont="1" applyFill="1" applyBorder="1" applyAlignment="1">
      <alignment horizontal="left"/>
    </xf>
    <xf numFmtId="0" fontId="63" fillId="0" borderId="25" xfId="0" applyFont="1" applyFill="1" applyBorder="1" applyAlignment="1">
      <alignment horizontal="center"/>
    </xf>
    <xf numFmtId="178" fontId="22" fillId="0" borderId="47" xfId="0" applyNumberFormat="1" applyFont="1" applyFill="1" applyBorder="1" applyAlignment="1">
      <alignment wrapText="1"/>
    </xf>
    <xf numFmtId="177" fontId="27" fillId="0" borderId="48" xfId="0" applyNumberFormat="1" applyFont="1" applyFill="1" applyBorder="1" applyAlignment="1">
      <alignment horizontal="right"/>
    </xf>
    <xf numFmtId="176" fontId="27" fillId="0" borderId="33" xfId="0" applyNumberFormat="1" applyFont="1" applyFill="1" applyBorder="1" applyAlignment="1">
      <alignment horizontal="right"/>
    </xf>
    <xf numFmtId="0" fontId="55" fillId="33" borderId="49" xfId="0" applyFont="1" applyFill="1" applyBorder="1" applyAlignment="1">
      <alignment/>
    </xf>
    <xf numFmtId="0" fontId="65" fillId="33" borderId="50" xfId="0" applyFont="1" applyFill="1" applyBorder="1" applyAlignment="1">
      <alignment/>
    </xf>
    <xf numFmtId="181" fontId="27" fillId="0" borderId="51" xfId="0" applyNumberFormat="1" applyFont="1" applyFill="1" applyBorder="1" applyAlignment="1">
      <alignment horizontal="right"/>
    </xf>
    <xf numFmtId="178" fontId="27" fillId="0" borderId="52" xfId="0" applyNumberFormat="1" applyFont="1" applyFill="1" applyBorder="1" applyAlignment="1">
      <alignment horizontal="right"/>
    </xf>
    <xf numFmtId="178" fontId="27" fillId="0" borderId="53" xfId="61" applyNumberFormat="1" applyFont="1" applyFill="1" applyBorder="1" applyAlignment="1">
      <alignment horizontal="right"/>
    </xf>
    <xf numFmtId="181" fontId="27" fillId="0" borderId="53" xfId="0" applyNumberFormat="1" applyFont="1" applyFill="1" applyBorder="1" applyAlignment="1">
      <alignment horizontal="right"/>
    </xf>
    <xf numFmtId="179" fontId="59" fillId="34" borderId="53" xfId="0" applyNumberFormat="1" applyFont="1" applyFill="1" applyBorder="1" applyAlignment="1">
      <alignment horizontal="right"/>
    </xf>
    <xf numFmtId="0" fontId="55" fillId="33" borderId="54" xfId="0" applyFont="1" applyFill="1" applyBorder="1" applyAlignment="1">
      <alignment horizontal="center"/>
    </xf>
    <xf numFmtId="14" fontId="59" fillId="0" borderId="54" xfId="0" applyNumberFormat="1" applyFont="1" applyFill="1" applyBorder="1" applyAlignment="1">
      <alignment horizontal="center"/>
    </xf>
    <xf numFmtId="200" fontId="27" fillId="0" borderId="54" xfId="0" applyNumberFormat="1" applyFont="1" applyFill="1" applyBorder="1" applyAlignment="1">
      <alignment horizontal="right"/>
    </xf>
    <xf numFmtId="38" fontId="27" fillId="13" borderId="54" xfId="0" applyNumberFormat="1" applyFont="1" applyFill="1" applyBorder="1" applyAlignment="1">
      <alignment horizontal="right"/>
    </xf>
    <xf numFmtId="0" fontId="55" fillId="33" borderId="53" xfId="0" applyFont="1" applyFill="1" applyBorder="1" applyAlignment="1">
      <alignment horizontal="center"/>
    </xf>
    <xf numFmtId="178" fontId="27" fillId="0" borderId="53" xfId="0" applyNumberFormat="1" applyFont="1" applyFill="1" applyBorder="1" applyAlignment="1">
      <alignment horizontal="right"/>
    </xf>
    <xf numFmtId="200" fontId="27" fillId="0" borderId="52" xfId="0" applyNumberFormat="1" applyFont="1" applyFill="1" applyBorder="1" applyAlignment="1">
      <alignment horizontal="right"/>
    </xf>
    <xf numFmtId="38" fontId="27" fillId="13" borderId="53" xfId="0" applyNumberFormat="1" applyFont="1" applyFill="1" applyBorder="1" applyAlignment="1">
      <alignment horizontal="right"/>
    </xf>
    <xf numFmtId="179" fontId="59" fillId="0" borderId="51" xfId="0" applyNumberFormat="1" applyFont="1" applyFill="1" applyBorder="1" applyAlignment="1">
      <alignment horizontal="right"/>
    </xf>
    <xf numFmtId="14" fontId="59" fillId="34" borderId="54" xfId="0" applyNumberFormat="1" applyFont="1" applyFill="1" applyBorder="1" applyAlignment="1">
      <alignment horizontal="center"/>
    </xf>
    <xf numFmtId="200" fontId="27" fillId="34" borderId="52" xfId="0" applyNumberFormat="1" applyFont="1" applyFill="1" applyBorder="1" applyAlignment="1">
      <alignment horizontal="right"/>
    </xf>
    <xf numFmtId="0" fontId="0" fillId="33" borderId="54" xfId="0" applyFont="1" applyFill="1" applyBorder="1" applyAlignment="1">
      <alignment/>
    </xf>
    <xf numFmtId="181" fontId="27" fillId="0" borderId="52" xfId="0" applyNumberFormat="1" applyFont="1" applyFill="1" applyBorder="1" applyAlignment="1">
      <alignment horizontal="right"/>
    </xf>
    <xf numFmtId="198" fontId="27" fillId="13" borderId="34" xfId="61" applyNumberFormat="1" applyFont="1" applyFill="1" applyBorder="1" applyAlignment="1">
      <alignment/>
    </xf>
    <xf numFmtId="179" fontId="59" fillId="33" borderId="51" xfId="0" applyNumberFormat="1" applyFont="1" applyFill="1" applyBorder="1" applyAlignment="1">
      <alignment horizontal="right"/>
    </xf>
    <xf numFmtId="0" fontId="55" fillId="33" borderId="51" xfId="0" applyFont="1" applyFill="1" applyBorder="1" applyAlignment="1">
      <alignment horizontal="center"/>
    </xf>
    <xf numFmtId="199" fontId="59" fillId="34" borderId="51" xfId="0" applyNumberFormat="1" applyFont="1" applyFill="1" applyBorder="1" applyAlignment="1">
      <alignment horizontal="center"/>
    </xf>
    <xf numFmtId="178" fontId="27" fillId="0" borderId="54" xfId="0" applyNumberFormat="1" applyFont="1" applyFill="1" applyBorder="1" applyAlignment="1">
      <alignment horizontal="right"/>
    </xf>
    <xf numFmtId="200" fontId="27" fillId="0" borderId="51" xfId="0" applyNumberFormat="1" applyFont="1" applyFill="1" applyBorder="1" applyAlignment="1">
      <alignment horizontal="right"/>
    </xf>
    <xf numFmtId="38" fontId="27" fillId="13" borderId="51" xfId="0" applyNumberFormat="1" applyFont="1" applyFill="1" applyBorder="1" applyAlignment="1">
      <alignment horizontal="right"/>
    </xf>
    <xf numFmtId="178" fontId="27" fillId="0" borderId="51" xfId="61" applyNumberFormat="1" applyFont="1" applyFill="1" applyBorder="1" applyAlignment="1">
      <alignment horizontal="right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/>
    </xf>
    <xf numFmtId="179" fontId="59" fillId="0" borderId="54" xfId="0" applyNumberFormat="1" applyFont="1" applyFill="1" applyBorder="1" applyAlignment="1">
      <alignment horizontal="right"/>
    </xf>
    <xf numFmtId="38" fontId="27" fillId="13" borderId="52" xfId="0" applyNumberFormat="1" applyFont="1" applyFill="1" applyBorder="1" applyAlignment="1">
      <alignment horizontal="right"/>
    </xf>
    <xf numFmtId="178" fontId="27" fillId="0" borderId="52" xfId="61" applyNumberFormat="1" applyFont="1" applyFill="1" applyBorder="1" applyAlignment="1">
      <alignment horizontal="right"/>
    </xf>
    <xf numFmtId="0" fontId="55" fillId="33" borderId="34" xfId="0" applyFont="1" applyFill="1" applyBorder="1" applyAlignment="1">
      <alignment/>
    </xf>
    <xf numFmtId="14" fontId="59" fillId="0" borderId="34" xfId="0" applyNumberFormat="1" applyFont="1" applyFill="1" applyBorder="1" applyAlignment="1">
      <alignment horizontal="center"/>
    </xf>
    <xf numFmtId="183" fontId="27" fillId="16" borderId="34" xfId="0" applyNumberFormat="1" applyFont="1" applyFill="1" applyBorder="1" applyAlignment="1">
      <alignment horizontal="right"/>
    </xf>
    <xf numFmtId="181" fontId="22" fillId="34" borderId="34" xfId="0" applyNumberFormat="1" applyFont="1" applyFill="1" applyBorder="1" applyAlignment="1">
      <alignment horizontal="right"/>
    </xf>
    <xf numFmtId="178" fontId="63" fillId="0" borderId="34" xfId="0" applyNumberFormat="1" applyFont="1" applyFill="1" applyBorder="1" applyAlignment="1">
      <alignment horizontal="left"/>
    </xf>
    <xf numFmtId="38" fontId="22" fillId="13" borderId="34" xfId="0" applyNumberFormat="1" applyFont="1" applyFill="1" applyBorder="1" applyAlignment="1">
      <alignment horizontal="right"/>
    </xf>
    <xf numFmtId="176" fontId="63" fillId="0" borderId="34" xfId="0" applyNumberFormat="1" applyFont="1" applyFill="1" applyBorder="1" applyAlignment="1">
      <alignment horizontal="center"/>
    </xf>
    <xf numFmtId="185" fontId="63" fillId="0" borderId="34" xfId="0" applyNumberFormat="1" applyFont="1" applyFill="1" applyBorder="1" applyAlignment="1">
      <alignment horizontal="right"/>
    </xf>
    <xf numFmtId="181" fontId="22" fillId="34" borderId="31" xfId="0" applyNumberFormat="1" applyFont="1" applyFill="1" applyBorder="1" applyAlignment="1">
      <alignment horizontal="right"/>
    </xf>
    <xf numFmtId="181" fontId="22" fillId="0" borderId="31" xfId="0" applyNumberFormat="1" applyFont="1" applyFill="1" applyBorder="1" applyAlignment="1">
      <alignment horizontal="right"/>
    </xf>
    <xf numFmtId="183" fontId="22" fillId="34" borderId="34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183" fontId="22" fillId="16" borderId="34" xfId="0" applyNumberFormat="1" applyFont="1" applyFill="1" applyBorder="1" applyAlignment="1">
      <alignment horizontal="right"/>
    </xf>
    <xf numFmtId="2" fontId="59" fillId="33" borderId="0" xfId="0" applyNumberFormat="1" applyFont="1" applyFill="1" applyAlignment="1">
      <alignment/>
    </xf>
    <xf numFmtId="185" fontId="59" fillId="0" borderId="55" xfId="0" applyNumberFormat="1" applyFont="1" applyFill="1" applyBorder="1" applyAlignment="1">
      <alignment horizontal="right"/>
    </xf>
    <xf numFmtId="181" fontId="27" fillId="34" borderId="56" xfId="0" applyNumberFormat="1" applyFont="1" applyFill="1" applyBorder="1" applyAlignment="1">
      <alignment horizontal="right"/>
    </xf>
    <xf numFmtId="183" fontId="27" fillId="34" borderId="57" xfId="0" applyNumberFormat="1" applyFont="1" applyFill="1" applyBorder="1" applyAlignment="1">
      <alignment horizontal="right"/>
    </xf>
    <xf numFmtId="14" fontId="59" fillId="34" borderId="58" xfId="0" applyNumberFormat="1" applyFont="1" applyFill="1" applyBorder="1" applyAlignment="1">
      <alignment horizontal="center"/>
    </xf>
    <xf numFmtId="183" fontId="27" fillId="34" borderId="59" xfId="0" applyNumberFormat="1" applyFont="1" applyFill="1" applyBorder="1" applyAlignment="1">
      <alignment horizontal="right"/>
    </xf>
    <xf numFmtId="181" fontId="27" fillId="34" borderId="60" xfId="0" applyNumberFormat="1" applyFont="1" applyFill="1" applyBorder="1" applyAlignment="1">
      <alignment horizontal="right"/>
    </xf>
    <xf numFmtId="0" fontId="55" fillId="0" borderId="61" xfId="0" applyFont="1" applyFill="1" applyBorder="1" applyAlignment="1">
      <alignment horizontal="center" vertical="center"/>
    </xf>
    <xf numFmtId="183" fontId="27" fillId="34" borderId="62" xfId="0" applyNumberFormat="1" applyFont="1" applyFill="1" applyBorder="1" applyAlignment="1">
      <alignment horizontal="right"/>
    </xf>
    <xf numFmtId="0" fontId="66" fillId="33" borderId="0" xfId="0" applyFont="1" applyFill="1" applyAlignment="1">
      <alignment/>
    </xf>
    <xf numFmtId="203" fontId="56" fillId="34" borderId="34" xfId="58" applyNumberFormat="1" applyFont="1" applyFill="1" applyBorder="1" applyAlignment="1">
      <alignment horizontal="right"/>
    </xf>
    <xf numFmtId="0" fontId="67" fillId="34" borderId="34" xfId="0" applyFont="1" applyFill="1" applyBorder="1" applyAlignment="1">
      <alignment horizontal="right"/>
    </xf>
    <xf numFmtId="14" fontId="27" fillId="0" borderId="23" xfId="0" applyNumberFormat="1" applyFont="1" applyFill="1" applyBorder="1" applyAlignment="1">
      <alignment horizontal="center"/>
    </xf>
    <xf numFmtId="14" fontId="59" fillId="34" borderId="30" xfId="0" applyNumberFormat="1" applyFont="1" applyFill="1" applyBorder="1" applyAlignment="1">
      <alignment horizontal="center"/>
    </xf>
    <xf numFmtId="14" fontId="59" fillId="34" borderId="24" xfId="0" applyNumberFormat="1" applyFont="1" applyFill="1" applyBorder="1" applyAlignment="1">
      <alignment horizontal="center"/>
    </xf>
    <xf numFmtId="183" fontId="62" fillId="0" borderId="48" xfId="0" applyNumberFormat="1" applyFont="1" applyFill="1" applyBorder="1" applyAlignment="1">
      <alignment horizontal="right"/>
    </xf>
    <xf numFmtId="0" fontId="0" fillId="33" borderId="34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198" fontId="22" fillId="34" borderId="65" xfId="0" applyNumberFormat="1" applyFont="1" applyFill="1" applyBorder="1" applyAlignment="1">
      <alignment horizontal="center"/>
    </xf>
    <xf numFmtId="198" fontId="22" fillId="34" borderId="66" xfId="0" applyNumberFormat="1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68" xfId="0" applyFont="1" applyFill="1" applyBorder="1" applyAlignment="1">
      <alignment horizontal="center"/>
    </xf>
    <xf numFmtId="180" fontId="27" fillId="34" borderId="67" xfId="0" applyNumberFormat="1" applyFont="1" applyFill="1" applyBorder="1" applyAlignment="1">
      <alignment horizontal="center"/>
    </xf>
    <xf numFmtId="180" fontId="27" fillId="34" borderId="68" xfId="0" applyNumberFormat="1" applyFont="1" applyFill="1" applyBorder="1" applyAlignment="1">
      <alignment horizontal="center"/>
    </xf>
    <xf numFmtId="180" fontId="27" fillId="34" borderId="65" xfId="0" applyNumberFormat="1" applyFont="1" applyFill="1" applyBorder="1" applyAlignment="1">
      <alignment horizontal="center"/>
    </xf>
    <xf numFmtId="180" fontId="27" fillId="34" borderId="66" xfId="0" applyNumberFormat="1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0" fillId="33" borderId="7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2">
      <pane xSplit="3" ySplit="2" topLeftCell="D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E28" sqref="E28"/>
    </sheetView>
  </sheetViews>
  <sheetFormatPr defaultColWidth="9.140625" defaultRowHeight="14.25" customHeight="1" outlineLevelRow="1" outlineLevelCol="1"/>
  <cols>
    <col min="1" max="1" width="8.140625" style="4" customWidth="1"/>
    <col min="2" max="2" width="11.8515625" style="4" customWidth="1"/>
    <col min="3" max="3" width="12.28125" style="4" customWidth="1"/>
    <col min="4" max="4" width="17.28125" style="4" customWidth="1"/>
    <col min="5" max="5" width="17.421875" style="4" customWidth="1"/>
    <col min="6" max="6" width="10.8515625" style="4" customWidth="1"/>
    <col min="7" max="7" width="14.8515625" style="4" customWidth="1"/>
    <col min="8" max="8" width="18.57421875" style="1" customWidth="1"/>
    <col min="9" max="9" width="14.140625" style="1" customWidth="1"/>
    <col min="10" max="10" width="19.7109375" style="1" customWidth="1"/>
    <col min="11" max="11" width="5.8515625" style="19" hidden="1" customWidth="1" outlineLevel="1"/>
    <col min="12" max="12" width="5.8515625" style="4" hidden="1" customWidth="1" outlineLevel="1"/>
    <col min="13" max="13" width="10.8515625" style="4" hidden="1" customWidth="1" outlineLevel="1"/>
    <col min="14" max="17" width="5.8515625" style="4" hidden="1" customWidth="1" outlineLevel="1"/>
    <col min="18" max="18" width="8.8515625" style="4" hidden="1" customWidth="1" outlineLevel="1"/>
    <col min="19" max="19" width="9.140625" style="4" hidden="1" customWidth="1" outlineLevel="1"/>
    <col min="20" max="20" width="3.421875" style="4" hidden="1" customWidth="1" outlineLevel="1" collapsed="1"/>
    <col min="21" max="21" width="7.8515625" style="33" customWidth="1" collapsed="1"/>
    <col min="22" max="22" width="8.8515625" style="4" customWidth="1"/>
    <col min="23" max="16384" width="9.140625" style="4" customWidth="1"/>
  </cols>
  <sheetData>
    <row r="1" spans="1:11" ht="14.25" customHeight="1">
      <c r="A1" s="13" t="s">
        <v>8</v>
      </c>
      <c r="B1" s="14"/>
      <c r="C1" s="14"/>
      <c r="D1" s="2"/>
      <c r="E1" s="3"/>
      <c r="F1" s="3"/>
      <c r="G1" s="3"/>
      <c r="H1" s="3"/>
      <c r="J1" s="3"/>
      <c r="K1" s="18"/>
    </row>
    <row r="2" spans="1:19" ht="14.25" customHeight="1" thickBot="1">
      <c r="A2" s="6" t="s">
        <v>16</v>
      </c>
      <c r="B2" s="6"/>
      <c r="C2" s="5"/>
      <c r="D2" s="16" t="s">
        <v>13</v>
      </c>
      <c r="E2" s="21"/>
      <c r="F2" s="7"/>
      <c r="G2" s="7"/>
      <c r="I2" s="11" t="s">
        <v>10</v>
      </c>
      <c r="J2" s="4"/>
      <c r="K2" s="60" t="s">
        <v>43</v>
      </c>
      <c r="L2" s="61"/>
      <c r="M2" s="61"/>
      <c r="N2" s="61"/>
      <c r="O2" s="61"/>
      <c r="P2" s="61"/>
      <c r="Q2" s="61"/>
      <c r="R2" s="61"/>
      <c r="S2" s="61"/>
    </row>
    <row r="3" spans="1:20" ht="37.5" customHeight="1" thickBot="1">
      <c r="A3" s="129" t="s">
        <v>6</v>
      </c>
      <c r="B3" s="130"/>
      <c r="C3" s="129" t="s">
        <v>4</v>
      </c>
      <c r="D3" s="154" t="s">
        <v>48</v>
      </c>
      <c r="E3" s="129" t="s">
        <v>49</v>
      </c>
      <c r="F3" s="129" t="s">
        <v>17</v>
      </c>
      <c r="G3" s="129" t="s">
        <v>35</v>
      </c>
      <c r="H3" s="129" t="s">
        <v>47</v>
      </c>
      <c r="I3" s="129" t="s">
        <v>14</v>
      </c>
      <c r="J3" s="129" t="s">
        <v>15</v>
      </c>
      <c r="K3" s="34" t="s">
        <v>44</v>
      </c>
      <c r="L3" s="34" t="s">
        <v>23</v>
      </c>
      <c r="M3" s="34" t="s">
        <v>24</v>
      </c>
      <c r="N3" s="34" t="s">
        <v>25</v>
      </c>
      <c r="O3" s="34" t="s">
        <v>26</v>
      </c>
      <c r="P3" s="38" t="s">
        <v>28</v>
      </c>
      <c r="Q3" s="34" t="s">
        <v>46</v>
      </c>
      <c r="R3" s="34" t="s">
        <v>27</v>
      </c>
      <c r="S3" s="35" t="s">
        <v>45</v>
      </c>
      <c r="T3" s="33"/>
    </row>
    <row r="4" spans="1:21" ht="14.25" customHeight="1">
      <c r="A4" s="122">
        <v>0</v>
      </c>
      <c r="B4" s="123" t="s">
        <v>1</v>
      </c>
      <c r="C4" s="124">
        <f ca="1">TODAY()</f>
        <v>43587</v>
      </c>
      <c r="D4" s="155">
        <v>-12000000</v>
      </c>
      <c r="E4" s="149">
        <v>4562702520</v>
      </c>
      <c r="F4" s="125">
        <f>G4-$G$14</f>
        <v>0</v>
      </c>
      <c r="G4" s="126">
        <f>B20</f>
        <v>380.3</v>
      </c>
      <c r="H4" s="127">
        <f aca="true" t="shared" si="0" ref="H4:H12">-D4*G4</f>
        <v>4563600000</v>
      </c>
      <c r="I4" s="128">
        <f>IF(ABS($D$13)&lt;$C$30,G4*$C$26/365*A4,G4*$D$26/365*A4)</f>
        <v>0</v>
      </c>
      <c r="J4" s="103">
        <f aca="true" t="shared" si="1" ref="J4:J12">ROUND(I4*D4,2)</f>
        <v>0</v>
      </c>
      <c r="K4" s="25"/>
      <c r="L4" s="25"/>
      <c r="M4" s="25"/>
      <c r="N4" s="25"/>
      <c r="O4" s="25"/>
      <c r="P4" s="25"/>
      <c r="Q4" s="25"/>
      <c r="R4" s="25"/>
      <c r="S4" s="28"/>
      <c r="U4" s="147"/>
    </row>
    <row r="5" spans="1:21" ht="14.25" customHeight="1">
      <c r="A5" s="107">
        <v>1</v>
      </c>
      <c r="B5" s="108" t="s">
        <v>2</v>
      </c>
      <c r="C5" s="109">
        <f>C4+A5</f>
        <v>43588</v>
      </c>
      <c r="D5" s="150">
        <v>-15000000</v>
      </c>
      <c r="E5" s="149">
        <v>5719933785</v>
      </c>
      <c r="F5" s="104">
        <f>G5-$G$14</f>
        <v>0</v>
      </c>
      <c r="G5" s="110">
        <f>B20</f>
        <v>380.3</v>
      </c>
      <c r="H5" s="111">
        <f t="shared" si="0"/>
        <v>5704500000</v>
      </c>
      <c r="I5" s="105">
        <f>IF(ABS($D$13)&lt;$C$30,G5*$C$26/365*A5,G5*$D$26/365*A5)</f>
        <v>0.023443150684931503</v>
      </c>
      <c r="J5" s="106">
        <f t="shared" si="1"/>
        <v>-351647.26</v>
      </c>
      <c r="K5" s="25"/>
      <c r="L5" s="25"/>
      <c r="M5" s="25"/>
      <c r="N5" s="25"/>
      <c r="O5" s="25"/>
      <c r="P5" s="25"/>
      <c r="Q5" s="25"/>
      <c r="R5" s="25"/>
      <c r="S5" s="28"/>
      <c r="U5" s="147"/>
    </row>
    <row r="6" spans="1:21" ht="14.25" customHeight="1">
      <c r="A6" s="107">
        <v>4</v>
      </c>
      <c r="B6" s="112" t="s">
        <v>5</v>
      </c>
      <c r="C6" s="109">
        <f>$C$4+A6</f>
        <v>43591</v>
      </c>
      <c r="D6" s="150"/>
      <c r="E6" s="149"/>
      <c r="F6" s="113">
        <f>G6-$B$20</f>
        <v>0.2216399999999794</v>
      </c>
      <c r="G6" s="114">
        <f>ROUND($B$20*(1+B23/365*(C6-$C$5)),6)</f>
        <v>380.52164</v>
      </c>
      <c r="H6" s="115">
        <f t="shared" si="0"/>
        <v>0</v>
      </c>
      <c r="I6" s="105">
        <f aca="true" t="shared" si="2" ref="I6:I12">IF(A6&lt;$K$10,G6*A6*($L$9+$M$9*(A6-$K$9))/365,IF(AND(A6&gt;=$K$10,A6&lt;$K$11),G6*A6*($L$10+$M$10*(A6-$K$10))/365,G6*A6*($L$11+$M$11*(A6-$K$11))/365))</f>
        <v>0.09945688892054795</v>
      </c>
      <c r="J6" s="106">
        <f t="shared" si="1"/>
        <v>0</v>
      </c>
      <c r="K6" s="25"/>
      <c r="L6" s="25"/>
      <c r="M6" s="25"/>
      <c r="N6" s="25"/>
      <c r="O6" s="25"/>
      <c r="P6" s="25"/>
      <c r="Q6" s="25"/>
      <c r="R6" s="25"/>
      <c r="S6" s="28"/>
      <c r="U6" s="147"/>
    </row>
    <row r="7" spans="1:21" ht="14.25" customHeight="1">
      <c r="A7" s="116">
        <f aca="true" t="shared" si="3" ref="A7:A12">C7-$C$4</f>
        <v>-43587</v>
      </c>
      <c r="B7" s="112"/>
      <c r="C7" s="117"/>
      <c r="D7" s="150"/>
      <c r="E7" s="149"/>
      <c r="F7" s="113"/>
      <c r="G7" s="118"/>
      <c r="H7" s="115">
        <f t="shared" si="0"/>
        <v>0</v>
      </c>
      <c r="I7" s="105">
        <f t="shared" si="2"/>
        <v>0</v>
      </c>
      <c r="J7" s="106">
        <f t="shared" si="1"/>
        <v>0</v>
      </c>
      <c r="K7" s="25"/>
      <c r="L7" s="25"/>
      <c r="M7" s="25"/>
      <c r="N7" s="25">
        <f aca="true" t="shared" si="4" ref="N7:N12">IF(A7&lt;$K$10,$K$9,IF(AND(A7&gt;=$K$10,A7&lt;$K$11),$K$10,$K$11))</f>
        <v>1</v>
      </c>
      <c r="O7" s="25">
        <f aca="true" t="shared" si="5" ref="O7:O12">IF(A7&lt;$K$10,(A7-$K$9),IF(AND(A7&gt;=$K$10,A7&lt;$K$11),(A7-$K$10),(A7-$K$11)))</f>
        <v>-43588</v>
      </c>
      <c r="P7" s="37">
        <f aca="true" t="shared" si="6" ref="P7:P12">N7+O7</f>
        <v>-43587</v>
      </c>
      <c r="Q7" s="29">
        <f aca="true" t="shared" si="7" ref="Q7:Q12">IF(A7&lt;$K$10,$L$9,IF(AND(A7&gt;=$K$10,A7&lt;$K$11),$L$10,$L$11))</f>
        <v>0.0225</v>
      </c>
      <c r="R7" s="30">
        <f aca="true" t="shared" si="8" ref="R7:R12">IF(A7&lt;$K$10,$M$9,IF(AND(A7&gt;=$K$10,A7&lt;$K$11),$M$10,$M$11))</f>
        <v>0.00045000000000000004</v>
      </c>
      <c r="S7" s="31">
        <f aca="true" t="shared" si="9" ref="S7:S12">Q7+R7*O7</f>
        <v>-19.592100000000002</v>
      </c>
      <c r="T7" s="53">
        <f aca="true" t="shared" si="10" ref="T7:T12">A7*S7/365*G7-I7</f>
        <v>0</v>
      </c>
      <c r="U7" s="147"/>
    </row>
    <row r="8" spans="1:21" ht="14.25" customHeight="1">
      <c r="A8" s="116">
        <f t="shared" si="3"/>
        <v>-43587</v>
      </c>
      <c r="B8" s="112"/>
      <c r="C8" s="117"/>
      <c r="D8" s="150"/>
      <c r="E8" s="149"/>
      <c r="F8" s="113"/>
      <c r="G8" s="118"/>
      <c r="H8" s="115">
        <f t="shared" si="0"/>
        <v>0</v>
      </c>
      <c r="I8" s="105">
        <f t="shared" si="2"/>
        <v>0</v>
      </c>
      <c r="J8" s="106">
        <f t="shared" si="1"/>
        <v>0</v>
      </c>
      <c r="K8" s="25"/>
      <c r="L8" s="25"/>
      <c r="M8" s="25"/>
      <c r="N8" s="25">
        <f t="shared" si="4"/>
        <v>1</v>
      </c>
      <c r="O8" s="25">
        <f t="shared" si="5"/>
        <v>-43588</v>
      </c>
      <c r="P8" s="37">
        <f t="shared" si="6"/>
        <v>-43587</v>
      </c>
      <c r="Q8" s="29">
        <f t="shared" si="7"/>
        <v>0.0225</v>
      </c>
      <c r="R8" s="30">
        <f t="shared" si="8"/>
        <v>0.00045000000000000004</v>
      </c>
      <c r="S8" s="31">
        <f t="shared" si="9"/>
        <v>-19.592100000000002</v>
      </c>
      <c r="T8" s="53">
        <f t="shared" si="10"/>
        <v>0</v>
      </c>
      <c r="U8" s="147"/>
    </row>
    <row r="9" spans="1:21" ht="14.25" customHeight="1">
      <c r="A9" s="116">
        <f t="shared" si="3"/>
        <v>-43587</v>
      </c>
      <c r="B9" s="112"/>
      <c r="C9" s="117"/>
      <c r="D9" s="150"/>
      <c r="E9" s="149"/>
      <c r="F9" s="113"/>
      <c r="G9" s="118"/>
      <c r="H9" s="115">
        <f t="shared" si="0"/>
        <v>0</v>
      </c>
      <c r="I9" s="105">
        <f t="shared" si="2"/>
        <v>0</v>
      </c>
      <c r="J9" s="106">
        <f t="shared" si="1"/>
        <v>0</v>
      </c>
      <c r="K9" s="36">
        <f>C5-$C$4</f>
        <v>1</v>
      </c>
      <c r="L9" s="26">
        <f>IF(ABS($D$13)&lt;$C$30,C26,D26)</f>
        <v>0.0225</v>
      </c>
      <c r="M9" s="27">
        <f>IF(K10=K9,0,(L10-L9)/(K10-K9))</f>
        <v>0.00045000000000000004</v>
      </c>
      <c r="N9" s="25">
        <f t="shared" si="4"/>
        <v>1</v>
      </c>
      <c r="O9" s="25">
        <f t="shared" si="5"/>
        <v>-43588</v>
      </c>
      <c r="P9" s="37">
        <f t="shared" si="6"/>
        <v>-43587</v>
      </c>
      <c r="Q9" s="29">
        <f t="shared" si="7"/>
        <v>0.0225</v>
      </c>
      <c r="R9" s="30">
        <f t="shared" si="8"/>
        <v>0.00045000000000000004</v>
      </c>
      <c r="S9" s="31">
        <f t="shared" si="9"/>
        <v>-19.592100000000002</v>
      </c>
      <c r="T9" s="53">
        <f t="shared" si="10"/>
        <v>0</v>
      </c>
      <c r="U9" s="147"/>
    </row>
    <row r="10" spans="1:21" ht="14.25" customHeight="1">
      <c r="A10" s="116">
        <f t="shared" si="3"/>
        <v>-43587</v>
      </c>
      <c r="B10" s="119"/>
      <c r="C10" s="117"/>
      <c r="D10" s="150"/>
      <c r="E10" s="149"/>
      <c r="F10" s="113"/>
      <c r="G10" s="118"/>
      <c r="H10" s="115">
        <f t="shared" si="0"/>
        <v>0</v>
      </c>
      <c r="I10" s="105">
        <f t="shared" si="2"/>
        <v>0</v>
      </c>
      <c r="J10" s="106">
        <f t="shared" si="1"/>
        <v>0</v>
      </c>
      <c r="K10" s="36">
        <f>IF(B27,B27-$C$4,C6-$C$4)</f>
        <v>11</v>
      </c>
      <c r="L10" s="26">
        <f>IF(ABS($D$13)&lt;$C$30,C27,D27)</f>
        <v>0.027</v>
      </c>
      <c r="M10" s="27">
        <f>IF(K11=K10,0,(L11-L10)/(K11-K10))</f>
        <v>0.0005428571428571427</v>
      </c>
      <c r="N10" s="25">
        <f t="shared" si="4"/>
        <v>1</v>
      </c>
      <c r="O10" s="25">
        <f t="shared" si="5"/>
        <v>-43588</v>
      </c>
      <c r="P10" s="37">
        <f t="shared" si="6"/>
        <v>-43587</v>
      </c>
      <c r="Q10" s="29">
        <f t="shared" si="7"/>
        <v>0.0225</v>
      </c>
      <c r="R10" s="30">
        <f t="shared" si="8"/>
        <v>0.00045000000000000004</v>
      </c>
      <c r="S10" s="31">
        <f t="shared" si="9"/>
        <v>-19.592100000000002</v>
      </c>
      <c r="T10" s="53">
        <f t="shared" si="10"/>
        <v>0</v>
      </c>
      <c r="U10" s="147"/>
    </row>
    <row r="11" spans="1:21" ht="14.25" customHeight="1">
      <c r="A11" s="116">
        <f t="shared" si="3"/>
        <v>-43587</v>
      </c>
      <c r="B11" s="112"/>
      <c r="C11" s="117"/>
      <c r="D11" s="150"/>
      <c r="E11" s="149"/>
      <c r="F11" s="113"/>
      <c r="G11" s="118"/>
      <c r="H11" s="115">
        <f t="shared" si="0"/>
        <v>0</v>
      </c>
      <c r="I11" s="105">
        <f t="shared" si="2"/>
        <v>0</v>
      </c>
      <c r="J11" s="106">
        <f t="shared" si="1"/>
        <v>0</v>
      </c>
      <c r="K11" s="36">
        <f>IF(B28,B28-$C$4,B27-$C$4)</f>
        <v>32</v>
      </c>
      <c r="L11" s="26">
        <f>IF(ABS($D$13)&lt;$C$30,C28,D28)</f>
        <v>0.0384</v>
      </c>
      <c r="M11" s="27">
        <f>IF(K12=K11,0,(L12-L11)/(K12-K11))</f>
        <v>-0.00019999999999999996</v>
      </c>
      <c r="N11" s="25">
        <f t="shared" si="4"/>
        <v>1</v>
      </c>
      <c r="O11" s="25">
        <f t="shared" si="5"/>
        <v>-43588</v>
      </c>
      <c r="P11" s="37">
        <f t="shared" si="6"/>
        <v>-43587</v>
      </c>
      <c r="Q11" s="29">
        <f t="shared" si="7"/>
        <v>0.0225</v>
      </c>
      <c r="R11" s="30">
        <f t="shared" si="8"/>
        <v>0.00045000000000000004</v>
      </c>
      <c r="S11" s="31">
        <f t="shared" si="9"/>
        <v>-19.592100000000002</v>
      </c>
      <c r="T11" s="53">
        <f t="shared" si="10"/>
        <v>0</v>
      </c>
      <c r="U11" s="147"/>
    </row>
    <row r="12" spans="1:21" ht="14.25" customHeight="1" thickBot="1">
      <c r="A12" s="131">
        <f t="shared" si="3"/>
        <v>-43587</v>
      </c>
      <c r="B12" s="119"/>
      <c r="C12" s="151"/>
      <c r="D12" s="152"/>
      <c r="E12" s="153"/>
      <c r="F12" s="104"/>
      <c r="G12" s="118"/>
      <c r="H12" s="132">
        <f t="shared" si="0"/>
        <v>0</v>
      </c>
      <c r="I12" s="133">
        <f t="shared" si="2"/>
        <v>0</v>
      </c>
      <c r="J12" s="120">
        <f t="shared" si="1"/>
        <v>0</v>
      </c>
      <c r="K12" s="36">
        <f>IF(B29,B29-$C$4,B28-$C$4)</f>
        <v>92</v>
      </c>
      <c r="L12" s="26">
        <f>IF(ABS($D$13)&lt;$C$30,C29,D29)</f>
        <v>0.0264</v>
      </c>
      <c r="M12" s="27">
        <f>IF(B30=K12,0,(K13-L12)/(B30-K12))</f>
        <v>0.0002869565217391304</v>
      </c>
      <c r="N12" s="25">
        <f t="shared" si="4"/>
        <v>1</v>
      </c>
      <c r="O12" s="25">
        <f t="shared" si="5"/>
        <v>-43588</v>
      </c>
      <c r="P12" s="37">
        <f t="shared" si="6"/>
        <v>-43587</v>
      </c>
      <c r="Q12" s="29">
        <f t="shared" si="7"/>
        <v>0.0225</v>
      </c>
      <c r="R12" s="30">
        <f t="shared" si="8"/>
        <v>0.00045000000000000004</v>
      </c>
      <c r="S12" s="31">
        <f t="shared" si="9"/>
        <v>-19.592100000000002</v>
      </c>
      <c r="T12" s="53">
        <f t="shared" si="10"/>
        <v>0</v>
      </c>
      <c r="U12" s="147"/>
    </row>
    <row r="13" spans="1:20" ht="14.25" customHeight="1" thickBot="1">
      <c r="A13" s="134" t="s">
        <v>22</v>
      </c>
      <c r="B13" s="134"/>
      <c r="C13" s="135"/>
      <c r="D13" s="136">
        <f>SUM(D4:D12)</f>
        <v>-27000000</v>
      </c>
      <c r="E13" s="137">
        <f>SUM(E4:E12)</f>
        <v>10282636305</v>
      </c>
      <c r="F13" s="138"/>
      <c r="G13" s="121">
        <f>-H13/D13</f>
        <v>380.3</v>
      </c>
      <c r="H13" s="139">
        <f>SUM(H4:H12)</f>
        <v>10268100000</v>
      </c>
      <c r="I13" s="140" t="s">
        <v>53</v>
      </c>
      <c r="J13" s="141">
        <f>-ABS(SUM(J4:J12))</f>
        <v>-351647.26</v>
      </c>
      <c r="K13" s="24"/>
      <c r="L13" s="23"/>
      <c r="T13" s="53"/>
    </row>
    <row r="14" spans="1:11" ht="14.25" customHeight="1" thickBot="1">
      <c r="A14" s="101" t="s">
        <v>3</v>
      </c>
      <c r="B14" s="134"/>
      <c r="C14" s="135">
        <f>C4</f>
        <v>43587</v>
      </c>
      <c r="D14" s="144"/>
      <c r="E14" s="142">
        <v>191000000</v>
      </c>
      <c r="F14" s="98" t="s">
        <v>20</v>
      </c>
      <c r="G14" s="99">
        <f>B20</f>
        <v>380.3</v>
      </c>
      <c r="H14" s="100">
        <f>IF(H20&gt;0,E14,IF(D14&lt;D16,D14*G14+E14,D16*G14+E14))</f>
        <v>191000000</v>
      </c>
      <c r="I14" s="11" t="s">
        <v>9</v>
      </c>
      <c r="J14" s="12"/>
      <c r="K14" s="4"/>
    </row>
    <row r="15" spans="1:11" ht="14.25" customHeight="1" thickBot="1">
      <c r="A15" s="101" t="s">
        <v>51</v>
      </c>
      <c r="B15" s="134"/>
      <c r="C15" s="145"/>
      <c r="D15" s="146">
        <f>SUM(D13:D14)</f>
        <v>-27000000</v>
      </c>
      <c r="E15" s="143">
        <f>SUM(E13:E14)</f>
        <v>10473636305</v>
      </c>
      <c r="F15" s="65" t="s">
        <v>21</v>
      </c>
      <c r="G15" s="66"/>
      <c r="H15" s="67">
        <f>IF(H20&gt;0,0,IF(D14&lt;D16,-D14*J15,-D16*J15))</f>
        <v>0</v>
      </c>
      <c r="I15" s="62" t="s">
        <v>12</v>
      </c>
      <c r="J15" s="63">
        <f>IF(D31="да",G14*C31,IF(ABS(D13)&lt;C30,G14*C32,G14*D32))</f>
        <v>6.8454</v>
      </c>
      <c r="K15" s="4"/>
    </row>
    <row r="16" spans="2:11" ht="14.25" customHeight="1" thickBot="1">
      <c r="B16" s="9"/>
      <c r="C16" s="15" t="s">
        <v>50</v>
      </c>
      <c r="D16" s="162">
        <f>IF(H20&gt;0,0,-0.5*H20/(G14))</f>
        <v>224350.69978963974</v>
      </c>
      <c r="E16" s="54"/>
      <c r="F16" s="102"/>
      <c r="H16" s="68">
        <f>IF(H15=0,0,(SUM(H14:H15)-E14)/G14)</f>
        <v>0</v>
      </c>
      <c r="I16" s="97" t="s">
        <v>52</v>
      </c>
      <c r="J16" s="64">
        <f>-ABS(D13*J15)</f>
        <v>-184825800</v>
      </c>
      <c r="K16" s="4"/>
    </row>
    <row r="17" spans="1:11" ht="14.25" customHeight="1" thickBot="1">
      <c r="A17" s="16"/>
      <c r="C17" s="47"/>
      <c r="D17" s="48"/>
      <c r="E17" s="10"/>
      <c r="F17" s="10"/>
      <c r="G17" s="32"/>
      <c r="H17" s="41"/>
      <c r="J17" s="4"/>
      <c r="K17" s="22"/>
    </row>
    <row r="18" spans="2:11" ht="14.25" customHeight="1" thickBot="1" thickTop="1">
      <c r="B18" s="11" t="s">
        <v>11</v>
      </c>
      <c r="C18" s="11"/>
      <c r="F18" s="46" t="s">
        <v>32</v>
      </c>
      <c r="G18" s="20"/>
      <c r="H18" s="52">
        <f>ABS(H13)</f>
        <v>10268100000</v>
      </c>
      <c r="I18" s="4"/>
      <c r="J18" s="4"/>
      <c r="K18" s="4"/>
    </row>
    <row r="19" spans="1:11" ht="14.25" customHeight="1" thickBot="1" thickTop="1">
      <c r="A19" s="69"/>
      <c r="B19" s="168" t="s">
        <v>42</v>
      </c>
      <c r="C19" s="169"/>
      <c r="D19" s="59"/>
      <c r="F19" s="94" t="s">
        <v>62</v>
      </c>
      <c r="G19" s="94"/>
      <c r="H19" s="92">
        <f>H14+H15</f>
        <v>191000000</v>
      </c>
      <c r="I19" s="4"/>
      <c r="J19" s="4"/>
      <c r="K19" s="4"/>
    </row>
    <row r="20" spans="1:11" ht="14.25" customHeight="1" thickBot="1" thickTop="1">
      <c r="A20" s="70" t="s">
        <v>0</v>
      </c>
      <c r="B20" s="166">
        <v>380.3</v>
      </c>
      <c r="C20" s="167"/>
      <c r="D20" s="58"/>
      <c r="F20" s="95" t="s">
        <v>31</v>
      </c>
      <c r="G20" s="95"/>
      <c r="H20" s="93">
        <f>IF(SUM(H21:H23)&gt;0,0,SUM(H21:H23))</f>
        <v>-170641142.26</v>
      </c>
      <c r="I20" s="55" t="s">
        <v>33</v>
      </c>
      <c r="J20" s="56" t="s">
        <v>34</v>
      </c>
      <c r="K20" s="4"/>
    </row>
    <row r="21" spans="1:11" ht="14.25" customHeight="1" thickBot="1">
      <c r="A21" s="71"/>
      <c r="B21" s="174" t="s">
        <v>56</v>
      </c>
      <c r="C21" s="174"/>
      <c r="D21" s="58"/>
      <c r="F21" s="49"/>
      <c r="G21" s="42" t="s">
        <v>59</v>
      </c>
      <c r="H21" s="45">
        <f>E13-H13</f>
        <v>14536305</v>
      </c>
      <c r="I21" s="57">
        <f>D14-ROUNDUP(D16,0)</f>
        <v>-224351</v>
      </c>
      <c r="J21" s="57">
        <f>IF(H20&gt;0,E14,H24)</f>
        <v>20358858</v>
      </c>
      <c r="K21" s="4"/>
    </row>
    <row r="22" spans="1:11" ht="14.25" customHeight="1">
      <c r="A22" s="72" t="s">
        <v>54</v>
      </c>
      <c r="B22" s="170">
        <v>0.0637381</v>
      </c>
      <c r="C22" s="171"/>
      <c r="D22" s="58"/>
      <c r="F22" s="50"/>
      <c r="G22" s="43" t="s">
        <v>18</v>
      </c>
      <c r="H22" s="45">
        <f>J16</f>
        <v>-184825800</v>
      </c>
      <c r="J22" s="17">
        <f>E14+H16*G14-H19</f>
        <v>0</v>
      </c>
      <c r="K22" s="4"/>
    </row>
    <row r="23" spans="1:11" ht="14.25" customHeight="1" thickBot="1">
      <c r="A23" s="73" t="s">
        <v>55</v>
      </c>
      <c r="B23" s="172">
        <v>0.07090772</v>
      </c>
      <c r="C23" s="173"/>
      <c r="D23" s="58"/>
      <c r="F23" s="51"/>
      <c r="G23" s="44" t="s">
        <v>19</v>
      </c>
      <c r="H23" s="148">
        <f>J13</f>
        <v>-351647.26</v>
      </c>
      <c r="J23" s="4"/>
      <c r="K23" s="4"/>
    </row>
    <row r="24" spans="1:11" ht="14.25" customHeight="1" thickBot="1" thickTop="1">
      <c r="A24" s="82"/>
      <c r="B24" s="78"/>
      <c r="C24" s="86" t="s">
        <v>37</v>
      </c>
      <c r="D24" s="87" t="s">
        <v>57</v>
      </c>
      <c r="F24" s="96" t="s">
        <v>61</v>
      </c>
      <c r="G24" s="96"/>
      <c r="H24" s="92">
        <f>ROUND(H19+H20,0)</f>
        <v>20358858</v>
      </c>
      <c r="J24" s="4"/>
      <c r="K24" s="4"/>
    </row>
    <row r="25" spans="1:11" ht="14.25" customHeight="1" thickBot="1" thickTop="1">
      <c r="A25" s="175" t="s">
        <v>7</v>
      </c>
      <c r="B25" s="165"/>
      <c r="C25" s="84">
        <v>0.018</v>
      </c>
      <c r="D25" s="85">
        <v>0.0287</v>
      </c>
      <c r="F25" s="10"/>
      <c r="G25" s="10"/>
      <c r="H25" s="91">
        <f>ABS(H20/H18)</f>
        <v>0.01661857035478813</v>
      </c>
      <c r="K25" s="4"/>
    </row>
    <row r="26" spans="1:8" ht="14.25" customHeight="1">
      <c r="A26" s="88" t="s">
        <v>39</v>
      </c>
      <c r="B26" s="159">
        <f>C5</f>
        <v>43588</v>
      </c>
      <c r="C26" s="74">
        <v>0.0225</v>
      </c>
      <c r="D26" s="75">
        <v>0.0231</v>
      </c>
      <c r="H26" s="8"/>
    </row>
    <row r="27" spans="1:8" ht="14.25" customHeight="1">
      <c r="A27" s="89" t="s">
        <v>36</v>
      </c>
      <c r="B27" s="160">
        <f>C4+7+4</f>
        <v>43598</v>
      </c>
      <c r="C27" s="39">
        <v>0.027</v>
      </c>
      <c r="D27" s="76">
        <v>0.0308</v>
      </c>
      <c r="H27" s="8"/>
    </row>
    <row r="28" spans="1:8" ht="14.25" customHeight="1">
      <c r="A28" s="89" t="s">
        <v>40</v>
      </c>
      <c r="B28" s="160">
        <f>_XLL.ДАТАМЕС($C$4,1)+1</f>
        <v>43619</v>
      </c>
      <c r="C28" s="39">
        <v>0.0384</v>
      </c>
      <c r="D28" s="76">
        <v>0.0455</v>
      </c>
      <c r="H28" s="8"/>
    </row>
    <row r="29" spans="1:8" ht="14.25" customHeight="1" thickBot="1">
      <c r="A29" s="90" t="s">
        <v>41</v>
      </c>
      <c r="B29" s="161">
        <f>_XLL.ДАТАМЕС($C$4,3)</f>
        <v>43679</v>
      </c>
      <c r="C29" s="40">
        <v>0.0264</v>
      </c>
      <c r="D29" s="77">
        <v>0.0266</v>
      </c>
      <c r="H29" s="8"/>
    </row>
    <row r="30" spans="1:3" ht="14.25" customHeight="1" thickBot="1">
      <c r="A30" s="81" t="s">
        <v>58</v>
      </c>
      <c r="C30" s="83">
        <v>43916026</v>
      </c>
    </row>
    <row r="31" spans="1:5" ht="14.25" customHeight="1" thickBot="1">
      <c r="A31" s="163" t="s">
        <v>29</v>
      </c>
      <c r="B31" s="163"/>
      <c r="C31" s="157">
        <v>0.09</v>
      </c>
      <c r="D31" s="158" t="s">
        <v>30</v>
      </c>
      <c r="E31" s="33" t="s">
        <v>60</v>
      </c>
    </row>
    <row r="32" spans="1:4" ht="14.25" customHeight="1" hidden="1" outlineLevel="1" thickBot="1">
      <c r="A32" s="164" t="s">
        <v>38</v>
      </c>
      <c r="B32" s="165"/>
      <c r="C32" s="79">
        <f>IF($D$31="да",$C$31,C25)</f>
        <v>0.018</v>
      </c>
      <c r="D32" s="80">
        <f>IF($D$31="да",$C$31,D25)</f>
        <v>0.0287</v>
      </c>
    </row>
    <row r="33" ht="14.25" customHeight="1" collapsed="1"/>
    <row r="37" ht="14.25" customHeight="1">
      <c r="E37" s="156"/>
    </row>
  </sheetData>
  <sheetProtection/>
  <mergeCells count="8">
    <mergeCell ref="A31:B31"/>
    <mergeCell ref="A32:B32"/>
    <mergeCell ref="B20:C20"/>
    <mergeCell ref="B19:C19"/>
    <mergeCell ref="B22:C22"/>
    <mergeCell ref="B23:C23"/>
    <mergeCell ref="B21:C21"/>
    <mergeCell ref="A25:B25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Сабина Шамханова</cp:lastModifiedBy>
  <cp:lastPrinted>2018-04-19T09:04:46Z</cp:lastPrinted>
  <dcterms:created xsi:type="dcterms:W3CDTF">2011-12-29T11:33:56Z</dcterms:created>
  <dcterms:modified xsi:type="dcterms:W3CDTF">2019-05-02T05:41:55Z</dcterms:modified>
  <cp:category/>
  <cp:version/>
  <cp:contentType/>
  <cp:contentStatus/>
</cp:coreProperties>
</file>