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GBO\03_УО\Валихан\KASE\2022\Январь\С учетом ЗО\"/>
    </mc:Choice>
  </mc:AlternateContent>
  <bookViews>
    <workbookView xWindow="0" yWindow="0" windowWidth="28800" windowHeight="11475"/>
  </bookViews>
  <sheets>
    <sheet name="700_ND " sheetId="1" r:id="rId1"/>
  </sheets>
  <definedNames>
    <definedName name="_xlnm._FilterDatabase" localSheetId="0" hidden="1">'700_ND '!$A$1:$F$840</definedName>
  </definedNames>
  <calcPr calcId="162913"/>
</workbook>
</file>

<file path=xl/calcChain.xml><?xml version="1.0" encoding="utf-8"?>
<calcChain xmlns="http://schemas.openxmlformats.org/spreadsheetml/2006/main">
  <c r="E773" i="1" l="1"/>
  <c r="D773" i="1"/>
  <c r="C773" i="1"/>
  <c r="B773" i="1"/>
  <c r="E772" i="1"/>
  <c r="D772" i="1"/>
  <c r="C772" i="1"/>
  <c r="B772" i="1"/>
  <c r="E771" i="1"/>
  <c r="D771" i="1"/>
  <c r="C771" i="1"/>
  <c r="B771" i="1"/>
  <c r="E770" i="1"/>
  <c r="D770" i="1"/>
  <c r="C770" i="1"/>
  <c r="B770" i="1"/>
  <c r="E769" i="1"/>
  <c r="D769" i="1"/>
  <c r="C769" i="1"/>
  <c r="B769" i="1"/>
  <c r="E768" i="1"/>
  <c r="D768" i="1"/>
  <c r="C768" i="1"/>
  <c r="B768" i="1"/>
  <c r="E767" i="1"/>
  <c r="D767" i="1"/>
  <c r="C767" i="1"/>
  <c r="B767" i="1"/>
  <c r="E766" i="1"/>
  <c r="D766" i="1"/>
  <c r="C766" i="1"/>
  <c r="B766" i="1"/>
  <c r="E765" i="1"/>
  <c r="D765" i="1"/>
  <c r="C765" i="1"/>
  <c r="B765" i="1"/>
  <c r="E764" i="1"/>
  <c r="D764" i="1"/>
  <c r="C764" i="1"/>
  <c r="B764" i="1"/>
  <c r="E763" i="1"/>
  <c r="D763" i="1"/>
  <c r="C763" i="1"/>
  <c r="B763" i="1"/>
  <c r="E762" i="1"/>
  <c r="D762" i="1"/>
  <c r="C762" i="1"/>
  <c r="B762" i="1"/>
  <c r="E761" i="1"/>
  <c r="D761" i="1"/>
  <c r="C761" i="1"/>
  <c r="B761" i="1"/>
  <c r="E760" i="1"/>
  <c r="D760" i="1"/>
  <c r="C760" i="1"/>
  <c r="B760" i="1"/>
  <c r="E759" i="1"/>
  <c r="D759" i="1"/>
  <c r="C759" i="1"/>
  <c r="B759" i="1"/>
  <c r="E758" i="1"/>
  <c r="D758" i="1"/>
  <c r="C758" i="1"/>
  <c r="B758" i="1"/>
  <c r="E757" i="1"/>
  <c r="D757" i="1"/>
  <c r="C757" i="1"/>
  <c r="B757" i="1"/>
  <c r="E756" i="1"/>
  <c r="D756" i="1"/>
  <c r="C756" i="1"/>
  <c r="B756" i="1"/>
  <c r="E755" i="1"/>
  <c r="D755" i="1"/>
  <c r="C755" i="1"/>
  <c r="B755" i="1"/>
  <c r="E754" i="1"/>
  <c r="D754" i="1"/>
  <c r="C754" i="1"/>
  <c r="B754" i="1"/>
  <c r="E753" i="1"/>
  <c r="D753" i="1"/>
  <c r="C753" i="1"/>
  <c r="B753" i="1"/>
  <c r="E752" i="1"/>
  <c r="D752" i="1"/>
  <c r="C752" i="1"/>
  <c r="B752" i="1"/>
  <c r="E751" i="1"/>
  <c r="D751" i="1"/>
  <c r="C751" i="1"/>
  <c r="B751" i="1"/>
  <c r="E750" i="1"/>
  <c r="D750" i="1"/>
  <c r="C750" i="1"/>
  <c r="B750" i="1"/>
  <c r="E749" i="1"/>
  <c r="D749" i="1"/>
  <c r="C749" i="1"/>
  <c r="B749" i="1"/>
  <c r="E748" i="1"/>
  <c r="D748" i="1"/>
  <c r="C748" i="1"/>
  <c r="B748" i="1"/>
  <c r="E747" i="1"/>
  <c r="D747" i="1"/>
  <c r="C747" i="1"/>
  <c r="B747" i="1"/>
  <c r="E746" i="1"/>
  <c r="D746" i="1"/>
  <c r="C746" i="1"/>
  <c r="B746" i="1"/>
  <c r="E745" i="1"/>
  <c r="D745" i="1"/>
  <c r="C745" i="1"/>
  <c r="B745" i="1"/>
  <c r="E744" i="1"/>
  <c r="D744" i="1"/>
  <c r="C744" i="1"/>
  <c r="B744" i="1"/>
  <c r="E743" i="1"/>
  <c r="D743" i="1"/>
  <c r="C743" i="1"/>
  <c r="B743" i="1"/>
  <c r="E742" i="1"/>
  <c r="D742" i="1"/>
  <c r="C742" i="1"/>
  <c r="B742" i="1"/>
  <c r="E741" i="1"/>
  <c r="D741" i="1"/>
  <c r="C741" i="1"/>
  <c r="B741" i="1"/>
  <c r="E740" i="1"/>
  <c r="D740" i="1"/>
  <c r="C740" i="1"/>
  <c r="B740" i="1"/>
  <c r="E739" i="1"/>
  <c r="D739" i="1"/>
  <c r="C739" i="1"/>
  <c r="B739" i="1"/>
  <c r="E738" i="1"/>
  <c r="D738" i="1"/>
  <c r="C738" i="1"/>
  <c r="B738" i="1"/>
  <c r="E737" i="1"/>
  <c r="D737" i="1"/>
  <c r="C737" i="1"/>
  <c r="B737" i="1"/>
  <c r="E736" i="1"/>
  <c r="D736" i="1"/>
  <c r="C736" i="1"/>
  <c r="B736" i="1"/>
  <c r="E735" i="1"/>
  <c r="D735" i="1"/>
  <c r="C735" i="1"/>
  <c r="B735" i="1"/>
  <c r="E734" i="1"/>
  <c r="D734" i="1"/>
  <c r="C734" i="1"/>
  <c r="B734" i="1"/>
  <c r="E733" i="1"/>
  <c r="D733" i="1"/>
  <c r="C733" i="1"/>
  <c r="B733" i="1"/>
  <c r="E732" i="1"/>
  <c r="D732" i="1"/>
  <c r="C732" i="1"/>
  <c r="B732" i="1"/>
  <c r="E731" i="1"/>
  <c r="D731" i="1"/>
  <c r="C731" i="1"/>
  <c r="B731" i="1"/>
  <c r="E730" i="1"/>
  <c r="D730" i="1"/>
  <c r="C730" i="1"/>
  <c r="B730" i="1"/>
  <c r="E729" i="1"/>
  <c r="D729" i="1"/>
  <c r="C729" i="1"/>
  <c r="B729" i="1"/>
  <c r="E728" i="1"/>
  <c r="D728" i="1"/>
  <c r="C728" i="1"/>
  <c r="B728" i="1"/>
  <c r="E727" i="1"/>
  <c r="D727" i="1"/>
  <c r="C727" i="1"/>
  <c r="B727" i="1"/>
  <c r="E726" i="1"/>
  <c r="D726" i="1"/>
  <c r="C726" i="1"/>
  <c r="B726" i="1"/>
  <c r="E725" i="1"/>
  <c r="D725" i="1"/>
  <c r="C725" i="1"/>
  <c r="B725" i="1"/>
  <c r="E724" i="1"/>
  <c r="D724" i="1"/>
  <c r="C724" i="1"/>
  <c r="B724" i="1"/>
  <c r="E723" i="1"/>
  <c r="D723" i="1"/>
  <c r="C723" i="1"/>
  <c r="B723" i="1"/>
  <c r="E722" i="1"/>
  <c r="D722" i="1"/>
  <c r="C722" i="1"/>
  <c r="B722" i="1"/>
  <c r="E721" i="1"/>
  <c r="D721" i="1"/>
  <c r="C721" i="1"/>
  <c r="B721" i="1"/>
  <c r="E720" i="1"/>
  <c r="D720" i="1"/>
  <c r="C720" i="1"/>
  <c r="B720" i="1"/>
  <c r="E719" i="1"/>
  <c r="D719" i="1"/>
  <c r="C719" i="1"/>
  <c r="B719" i="1"/>
  <c r="E718" i="1"/>
  <c r="D718" i="1"/>
  <c r="C718" i="1"/>
  <c r="B718" i="1"/>
  <c r="E717" i="1"/>
  <c r="D717" i="1"/>
  <c r="C717" i="1"/>
  <c r="B717" i="1"/>
  <c r="E716" i="1"/>
  <c r="D716" i="1"/>
  <c r="C716" i="1"/>
  <c r="B716" i="1"/>
  <c r="E715" i="1"/>
  <c r="D715" i="1"/>
  <c r="C715" i="1"/>
  <c r="B715" i="1"/>
  <c r="E714" i="1"/>
  <c r="D714" i="1"/>
  <c r="C714" i="1"/>
  <c r="B714" i="1"/>
  <c r="E713" i="1"/>
  <c r="D713" i="1"/>
  <c r="C713" i="1"/>
  <c r="B713" i="1"/>
  <c r="E712" i="1"/>
  <c r="D712" i="1"/>
  <c r="C712" i="1"/>
  <c r="B712" i="1"/>
  <c r="E711" i="1"/>
  <c r="D711" i="1"/>
  <c r="C711" i="1"/>
  <c r="B711" i="1"/>
  <c r="E710" i="1"/>
  <c r="D710" i="1"/>
  <c r="C710" i="1"/>
  <c r="B710" i="1"/>
  <c r="E709" i="1"/>
  <c r="D709" i="1"/>
  <c r="C709" i="1"/>
  <c r="B709" i="1"/>
  <c r="E708" i="1"/>
  <c r="D708" i="1"/>
  <c r="C708" i="1"/>
  <c r="B708" i="1"/>
  <c r="E707" i="1"/>
  <c r="D707" i="1"/>
  <c r="C707" i="1"/>
  <c r="B707" i="1"/>
  <c r="E706" i="1"/>
  <c r="D706" i="1"/>
  <c r="C706" i="1"/>
  <c r="B706" i="1"/>
  <c r="E705" i="1"/>
  <c r="D705" i="1"/>
  <c r="C705" i="1"/>
  <c r="B705" i="1"/>
  <c r="E704" i="1"/>
  <c r="D704" i="1"/>
  <c r="C704" i="1"/>
  <c r="B704" i="1"/>
  <c r="E703" i="1"/>
  <c r="D703" i="1"/>
  <c r="C703" i="1"/>
  <c r="B703" i="1"/>
  <c r="E702" i="1"/>
  <c r="D702" i="1"/>
  <c r="C702" i="1"/>
  <c r="B702" i="1"/>
  <c r="E701" i="1"/>
  <c r="D701" i="1"/>
  <c r="C701" i="1"/>
  <c r="B701" i="1"/>
  <c r="E700" i="1"/>
  <c r="D700" i="1"/>
  <c r="C700" i="1"/>
  <c r="B700" i="1"/>
  <c r="E699" i="1"/>
  <c r="D699" i="1"/>
  <c r="C699" i="1"/>
  <c r="B699" i="1"/>
  <c r="E698" i="1"/>
  <c r="D698" i="1"/>
  <c r="C698" i="1"/>
  <c r="B698" i="1"/>
  <c r="E697" i="1"/>
  <c r="D697" i="1"/>
  <c r="C697" i="1"/>
  <c r="B697" i="1"/>
  <c r="E696" i="1"/>
  <c r="D696" i="1"/>
  <c r="C696" i="1"/>
  <c r="B696" i="1"/>
  <c r="E695" i="1"/>
  <c r="D695" i="1"/>
  <c r="C695" i="1"/>
  <c r="B695" i="1"/>
  <c r="E694" i="1"/>
  <c r="D694" i="1"/>
  <c r="C694" i="1"/>
  <c r="B694" i="1"/>
  <c r="E693" i="1"/>
  <c r="D693" i="1"/>
  <c r="C693" i="1"/>
  <c r="B693" i="1"/>
  <c r="E692" i="1"/>
  <c r="D692" i="1"/>
  <c r="C692" i="1"/>
  <c r="B692" i="1"/>
  <c r="E691" i="1"/>
  <c r="D691" i="1"/>
  <c r="C691" i="1"/>
  <c r="B691" i="1"/>
  <c r="E690" i="1"/>
  <c r="D690" i="1"/>
  <c r="C690" i="1"/>
  <c r="B690" i="1"/>
  <c r="E689" i="1"/>
  <c r="D689" i="1"/>
  <c r="C689" i="1"/>
  <c r="B689" i="1"/>
  <c r="E688" i="1"/>
  <c r="D688" i="1"/>
  <c r="C688" i="1"/>
  <c r="B688" i="1"/>
  <c r="E687" i="1"/>
  <c r="D687" i="1"/>
  <c r="C687" i="1"/>
  <c r="B687" i="1"/>
  <c r="E686" i="1"/>
  <c r="D686" i="1"/>
  <c r="C686" i="1"/>
  <c r="B686" i="1"/>
  <c r="E685" i="1"/>
  <c r="D685" i="1"/>
  <c r="C685" i="1"/>
  <c r="B685" i="1"/>
  <c r="E684" i="1"/>
  <c r="D684" i="1"/>
  <c r="C684" i="1"/>
  <c r="B684" i="1"/>
  <c r="E683" i="1"/>
  <c r="D683" i="1"/>
  <c r="C683" i="1"/>
  <c r="B683" i="1"/>
  <c r="E682" i="1"/>
  <c r="D682" i="1"/>
  <c r="C682" i="1"/>
  <c r="B682" i="1"/>
  <c r="E681" i="1"/>
  <c r="D681" i="1"/>
  <c r="C681" i="1"/>
  <c r="B681" i="1"/>
  <c r="E680" i="1"/>
  <c r="D680" i="1"/>
  <c r="C680" i="1"/>
  <c r="B680" i="1"/>
  <c r="E679" i="1"/>
  <c r="D679" i="1"/>
  <c r="C679" i="1"/>
  <c r="B679" i="1"/>
  <c r="E678" i="1"/>
  <c r="D678" i="1"/>
  <c r="C678" i="1"/>
  <c r="B678" i="1"/>
  <c r="E677" i="1"/>
  <c r="D677" i="1"/>
  <c r="C677" i="1"/>
  <c r="B677" i="1"/>
  <c r="E676" i="1"/>
  <c r="D676" i="1"/>
  <c r="C676" i="1"/>
  <c r="B676" i="1"/>
  <c r="E675" i="1"/>
  <c r="D675" i="1"/>
  <c r="C675" i="1"/>
  <c r="B675" i="1"/>
  <c r="E674" i="1"/>
  <c r="D674" i="1"/>
  <c r="C674" i="1"/>
  <c r="B674" i="1"/>
  <c r="E673" i="1"/>
  <c r="D673" i="1"/>
  <c r="C673" i="1"/>
  <c r="B673" i="1"/>
  <c r="E672" i="1"/>
  <c r="D672" i="1"/>
  <c r="C672" i="1"/>
  <c r="B672" i="1"/>
  <c r="E671" i="1"/>
  <c r="D671" i="1"/>
  <c r="C671" i="1"/>
  <c r="B671" i="1"/>
  <c r="E670" i="1"/>
  <c r="D670" i="1"/>
  <c r="C670" i="1"/>
  <c r="B670" i="1"/>
  <c r="E669" i="1"/>
  <c r="D669" i="1"/>
  <c r="C669" i="1"/>
  <c r="B669" i="1"/>
  <c r="E668" i="1"/>
  <c r="D668" i="1"/>
  <c r="C668" i="1"/>
  <c r="B668" i="1"/>
  <c r="E667" i="1"/>
  <c r="D667" i="1"/>
  <c r="C667" i="1"/>
  <c r="B667" i="1"/>
  <c r="E666" i="1"/>
  <c r="D666" i="1"/>
  <c r="C666" i="1"/>
  <c r="B666" i="1"/>
  <c r="E665" i="1"/>
  <c r="D665" i="1"/>
  <c r="C665" i="1"/>
  <c r="B665" i="1"/>
  <c r="E664" i="1"/>
  <c r="D664" i="1"/>
  <c r="C664" i="1"/>
  <c r="B664" i="1"/>
  <c r="E663" i="1"/>
  <c r="D663" i="1"/>
  <c r="C663" i="1"/>
  <c r="B663" i="1"/>
  <c r="E662" i="1"/>
  <c r="D662" i="1"/>
  <c r="C662" i="1"/>
  <c r="B662" i="1"/>
  <c r="E661" i="1"/>
  <c r="D661" i="1"/>
  <c r="C661" i="1"/>
  <c r="B661" i="1"/>
  <c r="E660" i="1"/>
  <c r="D660" i="1"/>
  <c r="C660" i="1"/>
  <c r="B660" i="1"/>
  <c r="E659" i="1"/>
  <c r="D659" i="1"/>
  <c r="C659" i="1"/>
  <c r="B659" i="1"/>
  <c r="E658" i="1"/>
  <c r="D658" i="1"/>
  <c r="C658" i="1"/>
  <c r="B658" i="1"/>
  <c r="E657" i="1"/>
  <c r="D657" i="1"/>
  <c r="C657" i="1"/>
  <c r="B657" i="1"/>
  <c r="E656" i="1"/>
  <c r="D656" i="1"/>
  <c r="C656" i="1"/>
  <c r="B656" i="1"/>
  <c r="E655" i="1"/>
  <c r="D655" i="1"/>
  <c r="C655" i="1"/>
  <c r="B655" i="1"/>
  <c r="E654" i="1"/>
  <c r="D654" i="1"/>
  <c r="C654" i="1"/>
  <c r="B654" i="1"/>
  <c r="E653" i="1"/>
  <c r="D653" i="1"/>
  <c r="C653" i="1"/>
  <c r="B653" i="1"/>
  <c r="E652" i="1"/>
  <c r="D652" i="1"/>
  <c r="C652" i="1"/>
  <c r="B652" i="1"/>
  <c r="E651" i="1"/>
  <c r="D651" i="1"/>
  <c r="C651" i="1"/>
  <c r="B651" i="1"/>
  <c r="E650" i="1"/>
  <c r="D650" i="1"/>
  <c r="C650" i="1"/>
  <c r="B650" i="1"/>
  <c r="E649" i="1"/>
  <c r="D649" i="1"/>
  <c r="C649" i="1"/>
  <c r="B649" i="1"/>
  <c r="E648" i="1"/>
  <c r="D648" i="1"/>
  <c r="C648" i="1"/>
  <c r="B648" i="1"/>
  <c r="E647" i="1"/>
  <c r="D647" i="1"/>
  <c r="C647" i="1"/>
  <c r="B647" i="1"/>
  <c r="E646" i="1"/>
  <c r="D646" i="1"/>
  <c r="C646" i="1"/>
  <c r="B646" i="1"/>
  <c r="E645" i="1"/>
  <c r="D645" i="1"/>
  <c r="C645" i="1"/>
  <c r="B645" i="1"/>
  <c r="E644" i="1"/>
  <c r="D644" i="1"/>
  <c r="C644" i="1"/>
  <c r="B644" i="1"/>
  <c r="E643" i="1"/>
  <c r="D643" i="1"/>
  <c r="C643" i="1"/>
  <c r="B643" i="1"/>
  <c r="E642" i="1"/>
  <c r="D642" i="1"/>
  <c r="C642" i="1"/>
  <c r="B642" i="1"/>
  <c r="E641" i="1"/>
  <c r="D641" i="1"/>
  <c r="C641" i="1"/>
  <c r="B641" i="1"/>
  <c r="E640" i="1"/>
  <c r="D640" i="1"/>
  <c r="C640" i="1"/>
  <c r="B640" i="1"/>
  <c r="E639" i="1"/>
  <c r="D639" i="1"/>
  <c r="C639" i="1"/>
  <c r="B639" i="1"/>
  <c r="E638" i="1"/>
  <c r="D638" i="1"/>
  <c r="C638" i="1"/>
  <c r="B638" i="1"/>
  <c r="E637" i="1"/>
  <c r="D637" i="1"/>
  <c r="C637" i="1"/>
  <c r="B637" i="1"/>
  <c r="E636" i="1"/>
  <c r="D636" i="1"/>
  <c r="C636" i="1"/>
  <c r="B636" i="1"/>
  <c r="E635" i="1"/>
  <c r="D635" i="1"/>
  <c r="C635" i="1"/>
  <c r="B635" i="1"/>
  <c r="E634" i="1"/>
  <c r="D634" i="1"/>
  <c r="C634" i="1"/>
  <c r="B634" i="1"/>
  <c r="E633" i="1"/>
  <c r="D633" i="1"/>
  <c r="C633" i="1"/>
  <c r="B633" i="1"/>
  <c r="E632" i="1"/>
  <c r="D632" i="1"/>
  <c r="C632" i="1"/>
  <c r="B632" i="1"/>
  <c r="E631" i="1"/>
  <c r="D631" i="1"/>
  <c r="C631" i="1"/>
  <c r="B631" i="1"/>
  <c r="E630" i="1"/>
  <c r="D630" i="1"/>
  <c r="C630" i="1"/>
  <c r="B630" i="1"/>
  <c r="E629" i="1"/>
  <c r="D629" i="1"/>
  <c r="C629" i="1"/>
  <c r="B629" i="1"/>
  <c r="E628" i="1"/>
  <c r="D628" i="1"/>
  <c r="C628" i="1"/>
  <c r="B628" i="1"/>
  <c r="E627" i="1"/>
  <c r="D627" i="1"/>
  <c r="C627" i="1"/>
  <c r="B627" i="1"/>
  <c r="E626" i="1"/>
  <c r="D626" i="1"/>
  <c r="C626" i="1"/>
  <c r="B626" i="1"/>
  <c r="E625" i="1"/>
  <c r="D625" i="1"/>
  <c r="C625" i="1"/>
  <c r="B625" i="1"/>
  <c r="E624" i="1"/>
  <c r="D624" i="1"/>
  <c r="C624" i="1"/>
  <c r="B624" i="1"/>
  <c r="E623" i="1"/>
  <c r="D623" i="1"/>
  <c r="C623" i="1"/>
  <c r="B623" i="1"/>
  <c r="E622" i="1"/>
  <c r="D622" i="1"/>
  <c r="C622" i="1"/>
  <c r="B622" i="1"/>
  <c r="E621" i="1"/>
  <c r="D621" i="1"/>
  <c r="C621" i="1"/>
  <c r="B621" i="1"/>
  <c r="E620" i="1"/>
  <c r="D620" i="1"/>
  <c r="C620" i="1"/>
  <c r="B620" i="1"/>
  <c r="E619" i="1"/>
  <c r="D619" i="1"/>
  <c r="C619" i="1"/>
  <c r="B619" i="1"/>
  <c r="E618" i="1"/>
  <c r="D618" i="1"/>
  <c r="C618" i="1"/>
  <c r="B618" i="1"/>
  <c r="E617" i="1"/>
  <c r="D617" i="1"/>
  <c r="C617" i="1"/>
  <c r="B617" i="1"/>
  <c r="E616" i="1"/>
  <c r="D616" i="1"/>
  <c r="C616" i="1"/>
  <c r="B616" i="1"/>
  <c r="E615" i="1"/>
  <c r="D615" i="1"/>
  <c r="C615" i="1"/>
  <c r="B615" i="1"/>
  <c r="E614" i="1"/>
  <c r="D614" i="1"/>
  <c r="C614" i="1"/>
  <c r="B614" i="1"/>
  <c r="E613" i="1"/>
  <c r="D613" i="1"/>
  <c r="C613" i="1"/>
  <c r="B613" i="1"/>
  <c r="E612" i="1"/>
  <c r="D612" i="1"/>
  <c r="C612" i="1"/>
  <c r="B612" i="1"/>
  <c r="E611" i="1"/>
  <c r="D611" i="1"/>
  <c r="C611" i="1"/>
  <c r="B611" i="1"/>
  <c r="E610" i="1"/>
  <c r="D610" i="1"/>
  <c r="C610" i="1"/>
  <c r="B610" i="1"/>
  <c r="E609" i="1"/>
  <c r="D609" i="1"/>
  <c r="C609" i="1"/>
  <c r="B609" i="1"/>
  <c r="E608" i="1"/>
  <c r="D608" i="1"/>
  <c r="C608" i="1"/>
  <c r="B608" i="1"/>
  <c r="E607" i="1"/>
  <c r="D607" i="1"/>
  <c r="C607" i="1"/>
  <c r="B607" i="1"/>
  <c r="E606" i="1"/>
  <c r="D606" i="1"/>
  <c r="C606" i="1"/>
  <c r="B606" i="1"/>
  <c r="E605" i="1"/>
  <c r="D605" i="1"/>
  <c r="C605" i="1"/>
  <c r="B605" i="1"/>
  <c r="E604" i="1"/>
  <c r="D604" i="1"/>
  <c r="C604" i="1"/>
  <c r="B604" i="1"/>
  <c r="E603" i="1"/>
  <c r="D603" i="1"/>
  <c r="C603" i="1"/>
  <c r="B603" i="1"/>
  <c r="E602" i="1"/>
  <c r="D602" i="1"/>
  <c r="C602" i="1"/>
  <c r="B602" i="1"/>
  <c r="E601" i="1"/>
  <c r="D601" i="1"/>
  <c r="C601" i="1"/>
  <c r="B601" i="1"/>
  <c r="E600" i="1"/>
  <c r="D600" i="1"/>
  <c r="C600" i="1"/>
  <c r="B600" i="1"/>
  <c r="E599" i="1"/>
  <c r="D599" i="1"/>
  <c r="C599" i="1"/>
  <c r="B599" i="1"/>
  <c r="E598" i="1"/>
  <c r="D598" i="1"/>
  <c r="C598" i="1"/>
  <c r="B598" i="1"/>
  <c r="E597" i="1"/>
  <c r="D597" i="1"/>
  <c r="C597" i="1"/>
  <c r="B597" i="1"/>
  <c r="E596" i="1"/>
  <c r="D596" i="1"/>
  <c r="C596" i="1"/>
  <c r="B596" i="1"/>
  <c r="E595" i="1"/>
  <c r="D595" i="1"/>
  <c r="C595" i="1"/>
  <c r="B595" i="1"/>
  <c r="E594" i="1"/>
  <c r="D594" i="1"/>
  <c r="C594" i="1"/>
  <c r="B594" i="1"/>
  <c r="E593" i="1"/>
  <c r="D593" i="1"/>
  <c r="C593" i="1"/>
  <c r="B593" i="1"/>
  <c r="E592" i="1"/>
  <c r="D592" i="1"/>
  <c r="C592" i="1"/>
  <c r="B592" i="1"/>
  <c r="E591" i="1"/>
  <c r="D591" i="1"/>
  <c r="C591" i="1"/>
  <c r="B591" i="1"/>
  <c r="E590" i="1"/>
  <c r="D590" i="1"/>
  <c r="C590" i="1"/>
  <c r="B590" i="1"/>
  <c r="E589" i="1"/>
  <c r="D589" i="1"/>
  <c r="C589" i="1"/>
  <c r="B589" i="1"/>
  <c r="E588" i="1"/>
  <c r="D588" i="1"/>
  <c r="C588" i="1"/>
  <c r="B588" i="1"/>
  <c r="E587" i="1"/>
  <c r="D587" i="1"/>
  <c r="C587" i="1"/>
  <c r="B587" i="1"/>
  <c r="E586" i="1"/>
  <c r="D586" i="1"/>
  <c r="C586" i="1"/>
  <c r="B586" i="1"/>
  <c r="E585" i="1"/>
  <c r="D585" i="1"/>
  <c r="C585" i="1"/>
  <c r="B585" i="1"/>
  <c r="E584" i="1"/>
  <c r="D584" i="1"/>
  <c r="C584" i="1"/>
  <c r="B584" i="1"/>
  <c r="E583" i="1"/>
  <c r="D583" i="1"/>
  <c r="C583" i="1"/>
  <c r="B583" i="1"/>
  <c r="E582" i="1"/>
  <c r="D582" i="1"/>
  <c r="C582" i="1"/>
  <c r="B582" i="1"/>
  <c r="E581" i="1"/>
  <c r="D581" i="1"/>
  <c r="C581" i="1"/>
  <c r="B581" i="1"/>
  <c r="E580" i="1"/>
  <c r="D580" i="1"/>
  <c r="C580" i="1"/>
  <c r="B580" i="1"/>
  <c r="E579" i="1"/>
  <c r="D579" i="1"/>
  <c r="C579" i="1"/>
  <c r="B579" i="1"/>
  <c r="E578" i="1"/>
  <c r="D578" i="1"/>
  <c r="C578" i="1"/>
  <c r="B578" i="1"/>
  <c r="E577" i="1"/>
  <c r="D577" i="1"/>
  <c r="C577" i="1"/>
  <c r="B577" i="1"/>
  <c r="E576" i="1"/>
  <c r="D576" i="1"/>
  <c r="C576" i="1"/>
  <c r="B576" i="1"/>
  <c r="E575" i="1"/>
  <c r="D575" i="1"/>
  <c r="C575" i="1"/>
  <c r="B575" i="1"/>
  <c r="E574" i="1"/>
  <c r="D574" i="1"/>
  <c r="C574" i="1"/>
  <c r="B574" i="1"/>
  <c r="E573" i="1"/>
  <c r="D573" i="1"/>
  <c r="C573" i="1"/>
  <c r="B573" i="1"/>
  <c r="E572" i="1"/>
  <c r="D572" i="1"/>
  <c r="C572" i="1"/>
  <c r="B572" i="1"/>
  <c r="E571" i="1"/>
  <c r="D571" i="1"/>
  <c r="C571" i="1"/>
  <c r="B571" i="1"/>
  <c r="E570" i="1"/>
  <c r="D570" i="1"/>
  <c r="C570" i="1"/>
  <c r="B570" i="1"/>
  <c r="E569" i="1"/>
  <c r="D569" i="1"/>
  <c r="C569" i="1"/>
  <c r="B569" i="1"/>
  <c r="E568" i="1"/>
  <c r="D568" i="1"/>
  <c r="C568" i="1"/>
  <c r="B568" i="1"/>
  <c r="E567" i="1"/>
  <c r="D567" i="1"/>
  <c r="C567" i="1"/>
  <c r="B567" i="1"/>
  <c r="E566" i="1"/>
  <c r="D566" i="1"/>
  <c r="C566" i="1"/>
  <c r="B566" i="1"/>
  <c r="E565" i="1"/>
  <c r="D565" i="1"/>
  <c r="C565" i="1"/>
  <c r="B565" i="1"/>
  <c r="E564" i="1"/>
  <c r="D564" i="1"/>
  <c r="C564" i="1"/>
  <c r="B564" i="1"/>
  <c r="E563" i="1"/>
  <c r="D563" i="1"/>
  <c r="C563" i="1"/>
  <c r="B563" i="1"/>
  <c r="E562" i="1"/>
  <c r="D562" i="1"/>
  <c r="C562" i="1"/>
  <c r="B562" i="1"/>
  <c r="E561" i="1"/>
  <c r="D561" i="1"/>
  <c r="C561" i="1"/>
  <c r="B561" i="1"/>
  <c r="E560" i="1"/>
  <c r="D560" i="1"/>
  <c r="C560" i="1"/>
  <c r="B560" i="1"/>
  <c r="E559" i="1"/>
  <c r="D559" i="1"/>
  <c r="C559" i="1"/>
  <c r="B559" i="1"/>
  <c r="E558" i="1"/>
  <c r="D558" i="1"/>
  <c r="C558" i="1"/>
  <c r="B558" i="1"/>
  <c r="E557" i="1"/>
  <c r="D557" i="1"/>
  <c r="C557" i="1"/>
  <c r="B557" i="1"/>
  <c r="E556" i="1"/>
  <c r="D556" i="1"/>
  <c r="C556" i="1"/>
  <c r="B556" i="1"/>
  <c r="E555" i="1"/>
  <c r="D555" i="1"/>
  <c r="C555" i="1"/>
  <c r="B555" i="1"/>
  <c r="E554" i="1"/>
  <c r="D554" i="1"/>
  <c r="C554" i="1"/>
  <c r="B554" i="1"/>
  <c r="E553" i="1"/>
  <c r="D553" i="1"/>
  <c r="C553" i="1"/>
  <c r="B553" i="1"/>
  <c r="E552" i="1"/>
  <c r="D552" i="1"/>
  <c r="C552" i="1"/>
  <c r="B552" i="1"/>
  <c r="E551" i="1"/>
  <c r="D551" i="1"/>
  <c r="C551" i="1"/>
  <c r="B551" i="1"/>
  <c r="E550" i="1"/>
  <c r="D550" i="1"/>
  <c r="C550" i="1"/>
  <c r="B550" i="1"/>
  <c r="E549" i="1"/>
  <c r="D549" i="1"/>
  <c r="C549" i="1"/>
  <c r="B549" i="1"/>
  <c r="E548" i="1"/>
  <c r="D548" i="1"/>
  <c r="C548" i="1"/>
  <c r="B548" i="1"/>
  <c r="E547" i="1"/>
  <c r="D547" i="1"/>
  <c r="C547" i="1"/>
  <c r="B547" i="1"/>
  <c r="E546" i="1"/>
  <c r="D546" i="1"/>
  <c r="C546" i="1"/>
  <c r="B546" i="1"/>
  <c r="E545" i="1"/>
  <c r="D545" i="1"/>
  <c r="C545" i="1"/>
  <c r="B545" i="1"/>
  <c r="E544" i="1"/>
  <c r="D544" i="1"/>
  <c r="C544" i="1"/>
  <c r="B544" i="1"/>
  <c r="E543" i="1"/>
  <c r="D543" i="1"/>
  <c r="C543" i="1"/>
  <c r="B543" i="1"/>
  <c r="E542" i="1"/>
  <c r="D542" i="1"/>
  <c r="C542" i="1"/>
  <c r="B542" i="1"/>
  <c r="E541" i="1"/>
  <c r="D541" i="1"/>
  <c r="C541" i="1"/>
  <c r="B541" i="1"/>
  <c r="E540" i="1"/>
  <c r="D540" i="1"/>
  <c r="C540" i="1"/>
  <c r="B540" i="1"/>
  <c r="E539" i="1"/>
  <c r="D539" i="1"/>
  <c r="C539" i="1"/>
  <c r="B539" i="1"/>
  <c r="E538" i="1"/>
  <c r="D538" i="1"/>
  <c r="C538" i="1"/>
  <c r="B538" i="1"/>
  <c r="E537" i="1"/>
  <c r="D537" i="1"/>
  <c r="C537" i="1"/>
  <c r="B537" i="1"/>
  <c r="E536" i="1"/>
  <c r="D536" i="1"/>
  <c r="C536" i="1"/>
  <c r="B536" i="1"/>
  <c r="E535" i="1"/>
  <c r="D535" i="1"/>
  <c r="C535" i="1"/>
  <c r="B535" i="1"/>
  <c r="E534" i="1"/>
  <c r="D534" i="1"/>
  <c r="C534" i="1"/>
  <c r="B534" i="1"/>
  <c r="E533" i="1"/>
  <c r="D533" i="1"/>
  <c r="C533" i="1"/>
  <c r="B533" i="1"/>
  <c r="E532" i="1"/>
  <c r="D532" i="1"/>
  <c r="C532" i="1"/>
  <c r="B532" i="1"/>
  <c r="E531" i="1"/>
  <c r="D531" i="1"/>
  <c r="C531" i="1"/>
  <c r="B531" i="1"/>
  <c r="E530" i="1"/>
  <c r="D530" i="1"/>
  <c r="C530" i="1"/>
  <c r="B530" i="1"/>
  <c r="E529" i="1"/>
  <c r="D529" i="1"/>
  <c r="C529" i="1"/>
  <c r="B529" i="1"/>
  <c r="E528" i="1"/>
  <c r="D528" i="1"/>
  <c r="C528" i="1"/>
  <c r="B528" i="1"/>
  <c r="E527" i="1"/>
  <c r="D527" i="1"/>
  <c r="C527" i="1"/>
  <c r="B527" i="1"/>
  <c r="E526" i="1"/>
  <c r="D526" i="1"/>
  <c r="C526" i="1"/>
  <c r="B526" i="1"/>
  <c r="E525" i="1"/>
  <c r="D525" i="1"/>
  <c r="C525" i="1"/>
  <c r="B525" i="1"/>
  <c r="E524" i="1"/>
  <c r="D524" i="1"/>
  <c r="C524" i="1"/>
  <c r="B524" i="1"/>
  <c r="E523" i="1"/>
  <c r="D523" i="1"/>
  <c r="C523" i="1"/>
  <c r="B523" i="1"/>
  <c r="E522" i="1"/>
  <c r="D522" i="1"/>
  <c r="C522" i="1"/>
  <c r="B522" i="1"/>
  <c r="E521" i="1"/>
  <c r="D521" i="1"/>
  <c r="C521" i="1"/>
  <c r="B521" i="1"/>
  <c r="E520" i="1"/>
  <c r="D520" i="1"/>
  <c r="C520" i="1"/>
  <c r="B520" i="1"/>
  <c r="E519" i="1"/>
  <c r="D519" i="1"/>
  <c r="C519" i="1"/>
  <c r="B519" i="1"/>
  <c r="E518" i="1"/>
  <c r="D518" i="1"/>
  <c r="C518" i="1"/>
  <c r="B518" i="1"/>
  <c r="E517" i="1"/>
  <c r="D517" i="1"/>
  <c r="C517" i="1"/>
  <c r="B517" i="1"/>
  <c r="E516" i="1"/>
  <c r="D516" i="1"/>
  <c r="C516" i="1"/>
  <c r="B516" i="1"/>
  <c r="E515" i="1"/>
  <c r="D515" i="1"/>
  <c r="C515" i="1"/>
  <c r="B515" i="1"/>
  <c r="E514" i="1"/>
  <c r="D514" i="1"/>
  <c r="C514" i="1"/>
  <c r="B514" i="1"/>
  <c r="E513" i="1"/>
  <c r="D513" i="1"/>
  <c r="C513" i="1"/>
  <c r="B513" i="1"/>
  <c r="E512" i="1"/>
  <c r="D512" i="1"/>
  <c r="C512" i="1"/>
  <c r="B512" i="1"/>
  <c r="E511" i="1"/>
  <c r="D511" i="1"/>
  <c r="C511" i="1"/>
  <c r="B511" i="1"/>
  <c r="E510" i="1"/>
  <c r="D510" i="1"/>
  <c r="C510" i="1"/>
  <c r="B510" i="1"/>
  <c r="E509" i="1"/>
  <c r="D509" i="1"/>
  <c r="C509" i="1"/>
  <c r="B509" i="1"/>
  <c r="E508" i="1"/>
  <c r="D508" i="1"/>
  <c r="C508" i="1"/>
  <c r="B508" i="1"/>
  <c r="E507" i="1"/>
  <c r="D507" i="1"/>
  <c r="C507" i="1"/>
  <c r="B507" i="1"/>
  <c r="E506" i="1"/>
  <c r="D506" i="1"/>
  <c r="C506" i="1"/>
  <c r="B506" i="1"/>
  <c r="E505" i="1"/>
  <c r="D505" i="1"/>
  <c r="C505" i="1"/>
  <c r="B505" i="1"/>
  <c r="E504" i="1"/>
  <c r="D504" i="1"/>
  <c r="C504" i="1"/>
  <c r="B504" i="1"/>
  <c r="E503" i="1"/>
  <c r="D503" i="1"/>
  <c r="C503" i="1"/>
  <c r="B503" i="1"/>
  <c r="E502" i="1"/>
  <c r="D502" i="1"/>
  <c r="C502" i="1"/>
  <c r="B502" i="1"/>
  <c r="E501" i="1"/>
  <c r="D501" i="1"/>
  <c r="C501" i="1"/>
  <c r="B501" i="1"/>
  <c r="E500" i="1"/>
  <c r="D500" i="1"/>
  <c r="C500" i="1"/>
  <c r="B500" i="1"/>
  <c r="E499" i="1"/>
  <c r="D499" i="1"/>
  <c r="C499" i="1"/>
  <c r="B499" i="1"/>
  <c r="E498" i="1"/>
  <c r="D498" i="1"/>
  <c r="C498" i="1"/>
  <c r="B498" i="1"/>
  <c r="E497" i="1"/>
  <c r="D497" i="1"/>
  <c r="C497" i="1"/>
  <c r="B497" i="1"/>
  <c r="E496" i="1"/>
  <c r="D496" i="1"/>
  <c r="C496" i="1"/>
  <c r="B496" i="1"/>
  <c r="E495" i="1"/>
  <c r="D495" i="1"/>
  <c r="C495" i="1"/>
  <c r="B495" i="1"/>
  <c r="E494" i="1"/>
  <c r="D494" i="1"/>
  <c r="C494" i="1"/>
  <c r="B494" i="1"/>
  <c r="E493" i="1"/>
  <c r="D493" i="1"/>
  <c r="C493" i="1"/>
  <c r="B493" i="1"/>
  <c r="E492" i="1"/>
  <c r="D492" i="1"/>
  <c r="C492" i="1"/>
  <c r="B492" i="1"/>
  <c r="E491" i="1"/>
  <c r="D491" i="1"/>
  <c r="C491" i="1"/>
  <c r="B491" i="1"/>
  <c r="E490" i="1"/>
  <c r="D490" i="1"/>
  <c r="C490" i="1"/>
  <c r="B490" i="1"/>
  <c r="E489" i="1"/>
  <c r="D489" i="1"/>
  <c r="C489" i="1"/>
  <c r="B489" i="1"/>
  <c r="E488" i="1"/>
  <c r="D488" i="1"/>
  <c r="C488" i="1"/>
  <c r="B488" i="1"/>
  <c r="E487" i="1"/>
  <c r="D487" i="1"/>
  <c r="C487" i="1"/>
  <c r="B487" i="1"/>
  <c r="E486" i="1"/>
  <c r="D486" i="1"/>
  <c r="C486" i="1"/>
  <c r="B486" i="1"/>
  <c r="E485" i="1"/>
  <c r="D485" i="1"/>
  <c r="C485" i="1"/>
  <c r="B485" i="1"/>
  <c r="E484" i="1"/>
  <c r="D484" i="1"/>
  <c r="C484" i="1"/>
  <c r="B484" i="1"/>
  <c r="E483" i="1"/>
  <c r="D483" i="1"/>
  <c r="C483" i="1"/>
  <c r="B483" i="1"/>
  <c r="E482" i="1"/>
  <c r="D482" i="1"/>
  <c r="C482" i="1"/>
  <c r="B482" i="1"/>
  <c r="E481" i="1"/>
  <c r="D481" i="1"/>
  <c r="C481" i="1"/>
  <c r="B481" i="1"/>
  <c r="E480" i="1"/>
  <c r="D480" i="1"/>
  <c r="C480" i="1"/>
  <c r="B480" i="1"/>
  <c r="E479" i="1"/>
  <c r="D479" i="1"/>
  <c r="C479" i="1"/>
  <c r="B479" i="1"/>
  <c r="E478" i="1"/>
  <c r="D478" i="1"/>
  <c r="C478" i="1"/>
  <c r="B478" i="1"/>
  <c r="E477" i="1"/>
  <c r="D477" i="1"/>
  <c r="C477" i="1"/>
  <c r="B477" i="1"/>
  <c r="E476" i="1"/>
  <c r="D476" i="1"/>
  <c r="C476" i="1"/>
  <c r="B476" i="1"/>
  <c r="E475" i="1"/>
  <c r="D475" i="1"/>
  <c r="C475" i="1"/>
  <c r="B475" i="1"/>
  <c r="E474" i="1"/>
  <c r="D474" i="1"/>
  <c r="C474" i="1"/>
  <c r="B474" i="1"/>
  <c r="E473" i="1"/>
  <c r="D473" i="1"/>
  <c r="C473" i="1"/>
  <c r="B473" i="1"/>
  <c r="E472" i="1"/>
  <c r="D472" i="1"/>
  <c r="C472" i="1"/>
  <c r="B472" i="1"/>
  <c r="E471" i="1"/>
  <c r="D471" i="1"/>
  <c r="C471" i="1"/>
  <c r="B471" i="1"/>
  <c r="E470" i="1"/>
  <c r="D470" i="1"/>
  <c r="C470" i="1"/>
  <c r="B470" i="1"/>
  <c r="E469" i="1"/>
  <c r="D469" i="1"/>
  <c r="C469" i="1"/>
  <c r="B469" i="1"/>
  <c r="E468" i="1"/>
  <c r="D468" i="1"/>
  <c r="C468" i="1"/>
  <c r="B468" i="1"/>
  <c r="E467" i="1"/>
  <c r="D467" i="1"/>
  <c r="C467" i="1"/>
  <c r="B467" i="1"/>
  <c r="E466" i="1"/>
  <c r="D466" i="1"/>
  <c r="C466" i="1"/>
  <c r="B466" i="1"/>
  <c r="E465" i="1"/>
  <c r="D465" i="1"/>
  <c r="C465" i="1"/>
  <c r="B465" i="1"/>
  <c r="E464" i="1"/>
  <c r="D464" i="1"/>
  <c r="C464" i="1"/>
  <c r="B464" i="1"/>
  <c r="E463" i="1"/>
  <c r="D463" i="1"/>
  <c r="C463" i="1"/>
  <c r="B463" i="1"/>
  <c r="E462" i="1"/>
  <c r="D462" i="1"/>
  <c r="C462" i="1"/>
  <c r="B462" i="1"/>
  <c r="E461" i="1"/>
  <c r="D461" i="1"/>
  <c r="C461" i="1"/>
  <c r="B461" i="1"/>
  <c r="E460" i="1"/>
  <c r="D460" i="1"/>
  <c r="C460" i="1"/>
  <c r="B460" i="1"/>
  <c r="E459" i="1"/>
  <c r="D459" i="1"/>
  <c r="C459" i="1"/>
  <c r="B459" i="1"/>
  <c r="E458" i="1"/>
  <c r="D458" i="1"/>
  <c r="C458" i="1"/>
  <c r="B458" i="1"/>
  <c r="E457" i="1"/>
  <c r="D457" i="1"/>
  <c r="C457" i="1"/>
  <c r="B457" i="1"/>
  <c r="E456" i="1"/>
  <c r="D456" i="1"/>
  <c r="C456" i="1"/>
  <c r="B456" i="1"/>
  <c r="E455" i="1"/>
  <c r="D455" i="1"/>
  <c r="C455" i="1"/>
  <c r="B455" i="1"/>
  <c r="E454" i="1"/>
  <c r="D454" i="1"/>
  <c r="C454" i="1"/>
  <c r="B454" i="1"/>
  <c r="E453" i="1"/>
  <c r="D453" i="1"/>
  <c r="C453" i="1"/>
  <c r="B453" i="1"/>
  <c r="E452" i="1"/>
  <c r="D452" i="1"/>
  <c r="C452" i="1"/>
  <c r="B452" i="1"/>
  <c r="E451" i="1"/>
  <c r="D451" i="1"/>
  <c r="C451" i="1"/>
  <c r="B451" i="1"/>
  <c r="E450" i="1"/>
  <c r="D450" i="1"/>
  <c r="C450" i="1"/>
  <c r="B450" i="1"/>
  <c r="E449" i="1"/>
  <c r="D449" i="1"/>
  <c r="C449" i="1"/>
  <c r="B449" i="1"/>
  <c r="E448" i="1"/>
  <c r="D448" i="1"/>
  <c r="C448" i="1"/>
  <c r="B448" i="1"/>
  <c r="E447" i="1"/>
  <c r="D447" i="1"/>
  <c r="C447" i="1"/>
  <c r="B447" i="1"/>
  <c r="E446" i="1"/>
  <c r="D446" i="1"/>
  <c r="C446" i="1"/>
  <c r="B446" i="1"/>
  <c r="E445" i="1"/>
  <c r="D445" i="1"/>
  <c r="C445" i="1"/>
  <c r="B445" i="1"/>
  <c r="E444" i="1"/>
  <c r="D444" i="1"/>
  <c r="C444" i="1"/>
  <c r="B444" i="1"/>
  <c r="E443" i="1"/>
  <c r="D443" i="1"/>
  <c r="C443" i="1"/>
  <c r="B443" i="1"/>
  <c r="E442" i="1"/>
  <c r="D442" i="1"/>
  <c r="C442" i="1"/>
  <c r="B442" i="1"/>
  <c r="E441" i="1"/>
  <c r="D441" i="1"/>
  <c r="C441" i="1"/>
  <c r="B441" i="1"/>
  <c r="E440" i="1"/>
  <c r="D440" i="1"/>
  <c r="C440" i="1"/>
  <c r="B440" i="1"/>
  <c r="E439" i="1"/>
  <c r="D439" i="1"/>
  <c r="C439" i="1"/>
  <c r="B439" i="1"/>
  <c r="E438" i="1"/>
  <c r="D438" i="1"/>
  <c r="C438" i="1"/>
  <c r="B438" i="1"/>
  <c r="E437" i="1"/>
  <c r="D437" i="1"/>
  <c r="C437" i="1"/>
  <c r="B437" i="1"/>
  <c r="E436" i="1"/>
  <c r="D436" i="1"/>
  <c r="C436" i="1"/>
  <c r="B436" i="1"/>
  <c r="E435" i="1"/>
  <c r="D435" i="1"/>
  <c r="C435" i="1"/>
  <c r="B435" i="1"/>
  <c r="E434" i="1"/>
  <c r="D434" i="1"/>
  <c r="C434" i="1"/>
  <c r="B434" i="1"/>
  <c r="E433" i="1"/>
  <c r="D433" i="1"/>
  <c r="C433" i="1"/>
  <c r="B433" i="1"/>
  <c r="E432" i="1"/>
  <c r="D432" i="1"/>
  <c r="C432" i="1"/>
  <c r="B432" i="1"/>
  <c r="E431" i="1"/>
  <c r="D431" i="1"/>
  <c r="C431" i="1"/>
  <c r="B431" i="1"/>
  <c r="E430" i="1"/>
  <c r="D430" i="1"/>
  <c r="C430" i="1"/>
  <c r="B430" i="1"/>
  <c r="E429" i="1"/>
  <c r="D429" i="1"/>
  <c r="C429" i="1"/>
  <c r="B429" i="1"/>
  <c r="E428" i="1"/>
  <c r="D428" i="1"/>
  <c r="C428" i="1"/>
  <c r="B428" i="1"/>
  <c r="E427" i="1"/>
  <c r="D427" i="1"/>
  <c r="C427" i="1"/>
  <c r="B427" i="1"/>
  <c r="E426" i="1"/>
  <c r="D426" i="1"/>
  <c r="C426" i="1"/>
  <c r="B426" i="1"/>
  <c r="E425" i="1"/>
  <c r="D425" i="1"/>
  <c r="C425" i="1"/>
  <c r="B425" i="1"/>
  <c r="E424" i="1"/>
  <c r="D424" i="1"/>
  <c r="C424" i="1"/>
  <c r="B424" i="1"/>
  <c r="E423" i="1"/>
  <c r="D423" i="1"/>
  <c r="C423" i="1"/>
  <c r="B423" i="1"/>
  <c r="E422" i="1"/>
  <c r="D422" i="1"/>
  <c r="C422" i="1"/>
  <c r="B422" i="1"/>
  <c r="E421" i="1"/>
  <c r="D421" i="1"/>
  <c r="C421" i="1"/>
  <c r="B421" i="1"/>
  <c r="E420" i="1"/>
  <c r="D420" i="1"/>
  <c r="C420" i="1"/>
  <c r="B420" i="1"/>
  <c r="E419" i="1"/>
  <c r="D419" i="1"/>
  <c r="C419" i="1"/>
  <c r="B419" i="1"/>
  <c r="E418" i="1"/>
  <c r="D418" i="1"/>
  <c r="C418" i="1"/>
  <c r="B418" i="1"/>
  <c r="E417" i="1"/>
  <c r="D417" i="1"/>
  <c r="C417" i="1"/>
  <c r="B417" i="1"/>
  <c r="E416" i="1"/>
  <c r="D416" i="1"/>
  <c r="C416" i="1"/>
  <c r="B416" i="1"/>
  <c r="E415" i="1"/>
  <c r="D415" i="1"/>
  <c r="C415" i="1"/>
  <c r="B415" i="1"/>
  <c r="E414" i="1"/>
  <c r="D414" i="1"/>
  <c r="C414" i="1"/>
  <c r="B414" i="1"/>
  <c r="E413" i="1"/>
  <c r="D413" i="1"/>
  <c r="C413" i="1"/>
  <c r="B413" i="1"/>
  <c r="E412" i="1"/>
  <c r="D412" i="1"/>
  <c r="C412" i="1"/>
  <c r="B412" i="1"/>
  <c r="E411" i="1"/>
  <c r="D411" i="1"/>
  <c r="C411" i="1"/>
  <c r="B411" i="1"/>
  <c r="E410" i="1"/>
  <c r="D410" i="1"/>
  <c r="C410" i="1"/>
  <c r="B410" i="1"/>
  <c r="E409" i="1"/>
  <c r="D409" i="1"/>
  <c r="C409" i="1"/>
  <c r="B409" i="1"/>
  <c r="E408" i="1"/>
  <c r="D408" i="1"/>
  <c r="C408" i="1"/>
  <c r="B408" i="1"/>
  <c r="E407" i="1"/>
  <c r="D407" i="1"/>
  <c r="C407" i="1"/>
  <c r="B407" i="1"/>
  <c r="E406" i="1"/>
  <c r="D406" i="1"/>
  <c r="C406" i="1"/>
  <c r="B406" i="1"/>
  <c r="E405" i="1"/>
  <c r="D405" i="1"/>
  <c r="C405" i="1"/>
  <c r="B405" i="1"/>
  <c r="E404" i="1"/>
  <c r="D404" i="1"/>
  <c r="C404" i="1"/>
  <c r="B404" i="1"/>
  <c r="E403" i="1"/>
  <c r="D403" i="1"/>
  <c r="C403" i="1"/>
  <c r="B403" i="1"/>
  <c r="E402" i="1"/>
  <c r="D402" i="1"/>
  <c r="C402" i="1"/>
  <c r="B402" i="1"/>
  <c r="E401" i="1"/>
  <c r="D401" i="1"/>
  <c r="C401" i="1"/>
  <c r="B401" i="1"/>
  <c r="E400" i="1"/>
  <c r="D400" i="1"/>
  <c r="C400" i="1"/>
  <c r="B400" i="1"/>
  <c r="E399" i="1"/>
  <c r="D399" i="1"/>
  <c r="C399" i="1"/>
  <c r="B399" i="1"/>
  <c r="E398" i="1"/>
  <c r="D398" i="1"/>
  <c r="C398" i="1"/>
  <c r="B398" i="1"/>
  <c r="E397" i="1"/>
  <c r="D397" i="1"/>
  <c r="C397" i="1"/>
  <c r="B397" i="1"/>
  <c r="E396" i="1"/>
  <c r="D396" i="1"/>
  <c r="C396" i="1"/>
  <c r="B396" i="1"/>
  <c r="E395" i="1"/>
  <c r="D395" i="1"/>
  <c r="C395" i="1"/>
  <c r="B395" i="1"/>
  <c r="E394" i="1"/>
  <c r="D394" i="1"/>
  <c r="C394" i="1"/>
  <c r="B394" i="1"/>
  <c r="E393" i="1"/>
  <c r="D393" i="1"/>
  <c r="C393" i="1"/>
  <c r="B393" i="1"/>
  <c r="E392" i="1"/>
  <c r="D392" i="1"/>
  <c r="C392" i="1"/>
  <c r="B392" i="1"/>
  <c r="E391" i="1"/>
  <c r="D391" i="1"/>
  <c r="C391" i="1"/>
  <c r="B391" i="1"/>
  <c r="E390" i="1"/>
  <c r="D390" i="1"/>
  <c r="C390" i="1"/>
  <c r="B390" i="1"/>
  <c r="E389" i="1"/>
  <c r="D389" i="1"/>
  <c r="C389" i="1"/>
  <c r="B389" i="1"/>
  <c r="E388" i="1"/>
  <c r="D388" i="1"/>
  <c r="C388" i="1"/>
  <c r="B388" i="1"/>
  <c r="E387" i="1"/>
  <c r="D387" i="1"/>
  <c r="C387" i="1"/>
  <c r="B387" i="1"/>
  <c r="E386" i="1"/>
  <c r="D386" i="1"/>
  <c r="C386" i="1"/>
  <c r="B386" i="1"/>
  <c r="E385" i="1"/>
  <c r="D385" i="1"/>
  <c r="C385" i="1"/>
  <c r="B385" i="1"/>
  <c r="E384" i="1"/>
  <c r="D384" i="1"/>
  <c r="C384" i="1"/>
  <c r="B384" i="1"/>
  <c r="E383" i="1"/>
  <c r="D383" i="1"/>
  <c r="C383" i="1"/>
  <c r="B383" i="1"/>
  <c r="E382" i="1"/>
  <c r="D382" i="1"/>
  <c r="C382" i="1"/>
  <c r="B382" i="1"/>
  <c r="E381" i="1"/>
  <c r="D381" i="1"/>
  <c r="C381" i="1"/>
  <c r="B381" i="1"/>
  <c r="E380" i="1"/>
  <c r="D380" i="1"/>
  <c r="C380" i="1"/>
  <c r="B380" i="1"/>
  <c r="E379" i="1"/>
  <c r="D379" i="1"/>
  <c r="C379" i="1"/>
  <c r="B379" i="1"/>
  <c r="E378" i="1"/>
  <c r="D378" i="1"/>
  <c r="C378" i="1"/>
  <c r="B378" i="1"/>
  <c r="E377" i="1"/>
  <c r="D377" i="1"/>
  <c r="C377" i="1"/>
  <c r="B377" i="1"/>
  <c r="E376" i="1"/>
  <c r="D376" i="1"/>
  <c r="C376" i="1"/>
  <c r="B376" i="1"/>
  <c r="E375" i="1"/>
  <c r="D375" i="1"/>
  <c r="C375" i="1"/>
  <c r="B375" i="1"/>
  <c r="E374" i="1"/>
  <c r="D374" i="1"/>
  <c r="C374" i="1"/>
  <c r="B374" i="1"/>
  <c r="E373" i="1"/>
  <c r="D373" i="1"/>
  <c r="C373" i="1"/>
  <c r="B373" i="1"/>
  <c r="E372" i="1"/>
  <c r="D372" i="1"/>
  <c r="C372" i="1"/>
  <c r="B372" i="1"/>
  <c r="E371" i="1"/>
  <c r="D371" i="1"/>
  <c r="C371" i="1"/>
  <c r="B371" i="1"/>
  <c r="E370" i="1"/>
  <c r="D370" i="1"/>
  <c r="C370" i="1"/>
  <c r="B370" i="1"/>
  <c r="E369" i="1"/>
  <c r="D369" i="1"/>
  <c r="C369" i="1"/>
  <c r="B369" i="1"/>
  <c r="E368" i="1"/>
  <c r="D368" i="1"/>
  <c r="C368" i="1"/>
  <c r="B368" i="1"/>
  <c r="E367" i="1"/>
  <c r="D367" i="1"/>
  <c r="C367" i="1"/>
  <c r="B367" i="1"/>
  <c r="E366" i="1"/>
  <c r="D366" i="1"/>
  <c r="C366" i="1"/>
  <c r="B366" i="1"/>
  <c r="E365" i="1"/>
  <c r="D365" i="1"/>
  <c r="C365" i="1"/>
  <c r="B365" i="1"/>
  <c r="E364" i="1"/>
  <c r="D364" i="1"/>
  <c r="C364" i="1"/>
  <c r="B364" i="1"/>
  <c r="E363" i="1"/>
  <c r="D363" i="1"/>
  <c r="C363" i="1"/>
  <c r="B363" i="1"/>
  <c r="E362" i="1"/>
  <c r="D362" i="1"/>
  <c r="C362" i="1"/>
  <c r="B362" i="1"/>
  <c r="E361" i="1"/>
  <c r="D361" i="1"/>
  <c r="C361" i="1"/>
  <c r="B361" i="1"/>
  <c r="E360" i="1"/>
  <c r="D360" i="1"/>
  <c r="C360" i="1"/>
  <c r="B360" i="1"/>
  <c r="E359" i="1"/>
  <c r="D359" i="1"/>
  <c r="C359" i="1"/>
  <c r="B359" i="1"/>
  <c r="E358" i="1"/>
  <c r="D358" i="1"/>
  <c r="C358" i="1"/>
  <c r="B358" i="1"/>
  <c r="E357" i="1"/>
  <c r="D357" i="1"/>
  <c r="C357" i="1"/>
  <c r="B357" i="1"/>
  <c r="E356" i="1"/>
  <c r="D356" i="1"/>
  <c r="C356" i="1"/>
  <c r="B356" i="1"/>
  <c r="E355" i="1"/>
  <c r="D355" i="1"/>
  <c r="C355" i="1"/>
  <c r="B355" i="1"/>
  <c r="E354" i="1"/>
  <c r="D354" i="1"/>
  <c r="C354" i="1"/>
  <c r="B354" i="1"/>
  <c r="E353" i="1"/>
  <c r="D353" i="1"/>
  <c r="C353" i="1"/>
  <c r="B353" i="1"/>
  <c r="E352" i="1"/>
  <c r="D352" i="1"/>
  <c r="C352" i="1"/>
  <c r="B352" i="1"/>
  <c r="E351" i="1"/>
  <c r="D351" i="1"/>
  <c r="C351" i="1"/>
  <c r="B351" i="1"/>
  <c r="E350" i="1"/>
  <c r="D350" i="1"/>
  <c r="C350" i="1"/>
  <c r="B350" i="1"/>
  <c r="E349" i="1"/>
  <c r="D349" i="1"/>
  <c r="C349" i="1"/>
  <c r="B349" i="1"/>
  <c r="E348" i="1"/>
  <c r="D348" i="1"/>
  <c r="C348" i="1"/>
  <c r="B348" i="1"/>
  <c r="E347" i="1"/>
  <c r="D347" i="1"/>
  <c r="C347" i="1"/>
  <c r="B347" i="1"/>
  <c r="E346" i="1"/>
  <c r="D346" i="1"/>
  <c r="C346" i="1"/>
  <c r="B346" i="1"/>
  <c r="E345" i="1"/>
  <c r="D345" i="1"/>
  <c r="C345" i="1"/>
  <c r="B345" i="1"/>
  <c r="E344" i="1"/>
  <c r="D344" i="1"/>
  <c r="C344" i="1"/>
  <c r="B344" i="1"/>
  <c r="E343" i="1"/>
  <c r="D343" i="1"/>
  <c r="C343" i="1"/>
  <c r="B343" i="1"/>
  <c r="E342" i="1"/>
  <c r="D342" i="1"/>
  <c r="C342" i="1"/>
  <c r="B342" i="1"/>
  <c r="E341" i="1"/>
  <c r="D341" i="1"/>
  <c r="C341" i="1"/>
  <c r="B341" i="1"/>
  <c r="E340" i="1"/>
  <c r="D340" i="1"/>
  <c r="C340" i="1"/>
  <c r="B340" i="1"/>
  <c r="E339" i="1"/>
  <c r="D339" i="1"/>
  <c r="C339" i="1"/>
  <c r="B339" i="1"/>
  <c r="E338" i="1"/>
  <c r="D338" i="1"/>
  <c r="C338" i="1"/>
  <c r="B338" i="1"/>
  <c r="E337" i="1"/>
  <c r="D337" i="1"/>
  <c r="C337" i="1"/>
  <c r="B337" i="1"/>
  <c r="E336" i="1"/>
  <c r="D336" i="1"/>
  <c r="C336" i="1"/>
  <c r="B336" i="1"/>
  <c r="E335" i="1"/>
  <c r="D335" i="1"/>
  <c r="C335" i="1"/>
  <c r="B335" i="1"/>
  <c r="E334" i="1"/>
  <c r="D334" i="1"/>
  <c r="C334" i="1"/>
  <c r="B334" i="1"/>
  <c r="E333" i="1"/>
  <c r="D333" i="1"/>
  <c r="C333" i="1"/>
  <c r="B333" i="1"/>
  <c r="E332" i="1"/>
  <c r="D332" i="1"/>
  <c r="C332" i="1"/>
  <c r="B332" i="1"/>
  <c r="E331" i="1"/>
  <c r="D331" i="1"/>
  <c r="C331" i="1"/>
  <c r="B331" i="1"/>
  <c r="E330" i="1"/>
  <c r="D330" i="1"/>
  <c r="C330" i="1"/>
  <c r="B330" i="1"/>
  <c r="E329" i="1"/>
  <c r="D329" i="1"/>
  <c r="C329" i="1"/>
  <c r="B329" i="1"/>
  <c r="E328" i="1"/>
  <c r="D328" i="1"/>
  <c r="C328" i="1"/>
  <c r="B328" i="1"/>
  <c r="E327" i="1"/>
  <c r="D327" i="1"/>
  <c r="C327" i="1"/>
  <c r="B327" i="1"/>
  <c r="E326" i="1"/>
  <c r="D326" i="1"/>
  <c r="C326" i="1"/>
  <c r="B326" i="1"/>
  <c r="E325" i="1"/>
  <c r="D325" i="1"/>
  <c r="C325" i="1"/>
  <c r="B325" i="1"/>
  <c r="E324" i="1"/>
  <c r="D324" i="1"/>
  <c r="C324" i="1"/>
  <c r="B324" i="1"/>
  <c r="E323" i="1"/>
  <c r="D323" i="1"/>
  <c r="C323" i="1"/>
  <c r="B323" i="1"/>
  <c r="E322" i="1"/>
  <c r="D322" i="1"/>
  <c r="C322" i="1"/>
  <c r="B322" i="1"/>
  <c r="E321" i="1"/>
  <c r="D321" i="1"/>
  <c r="C321" i="1"/>
  <c r="B321" i="1"/>
  <c r="E320" i="1"/>
  <c r="D320" i="1"/>
  <c r="C320" i="1"/>
  <c r="B320" i="1"/>
  <c r="E319" i="1"/>
  <c r="D319" i="1"/>
  <c r="C319" i="1"/>
  <c r="B319" i="1"/>
  <c r="E318" i="1"/>
  <c r="D318" i="1"/>
  <c r="C318" i="1"/>
  <c r="B318" i="1"/>
  <c r="E317" i="1"/>
  <c r="D317" i="1"/>
  <c r="C317" i="1"/>
  <c r="B317" i="1"/>
  <c r="E316" i="1"/>
  <c r="D316" i="1"/>
  <c r="C316" i="1"/>
  <c r="B316" i="1"/>
  <c r="E315" i="1"/>
  <c r="D315" i="1"/>
  <c r="C315" i="1"/>
  <c r="B315" i="1"/>
  <c r="E314" i="1"/>
  <c r="D314" i="1"/>
  <c r="C314" i="1"/>
  <c r="B314" i="1"/>
  <c r="E313" i="1"/>
  <c r="D313" i="1"/>
  <c r="C313" i="1"/>
  <c r="B313" i="1"/>
  <c r="E312" i="1"/>
  <c r="D312" i="1"/>
  <c r="C312" i="1"/>
  <c r="B312" i="1"/>
  <c r="E311" i="1"/>
  <c r="D311" i="1"/>
  <c r="C311" i="1"/>
  <c r="B311" i="1"/>
  <c r="E310" i="1"/>
  <c r="D310" i="1"/>
  <c r="C310" i="1"/>
  <c r="B310" i="1"/>
  <c r="E309" i="1"/>
  <c r="D309" i="1"/>
  <c r="C309" i="1"/>
  <c r="B309" i="1"/>
  <c r="E308" i="1"/>
  <c r="D308" i="1"/>
  <c r="C308" i="1"/>
  <c r="B308" i="1"/>
  <c r="E307" i="1"/>
  <c r="D307" i="1"/>
  <c r="C307" i="1"/>
  <c r="B307" i="1"/>
  <c r="E306" i="1"/>
  <c r="D306" i="1"/>
  <c r="C306" i="1"/>
  <c r="B306" i="1"/>
  <c r="E305" i="1"/>
  <c r="D305" i="1"/>
  <c r="C305" i="1"/>
  <c r="B305" i="1"/>
  <c r="E304" i="1"/>
  <c r="D304" i="1"/>
  <c r="C304" i="1"/>
  <c r="B304" i="1"/>
  <c r="E303" i="1"/>
  <c r="D303" i="1"/>
  <c r="C303" i="1"/>
  <c r="B303" i="1"/>
  <c r="E302" i="1"/>
  <c r="D302" i="1"/>
  <c r="C302" i="1"/>
  <c r="B302" i="1"/>
  <c r="E301" i="1"/>
  <c r="D301" i="1"/>
  <c r="C301" i="1"/>
  <c r="B301" i="1"/>
  <c r="E300" i="1"/>
  <c r="D300" i="1"/>
  <c r="C300" i="1"/>
  <c r="B300" i="1"/>
  <c r="E299" i="1"/>
  <c r="D299" i="1"/>
  <c r="C299" i="1"/>
  <c r="B299" i="1"/>
  <c r="E298" i="1"/>
  <c r="D298" i="1"/>
  <c r="C298" i="1"/>
  <c r="B298" i="1"/>
  <c r="E297" i="1"/>
  <c r="D297" i="1"/>
  <c r="C297" i="1"/>
  <c r="B297" i="1"/>
  <c r="E296" i="1"/>
  <c r="D296" i="1"/>
  <c r="C296" i="1"/>
  <c r="B296" i="1"/>
  <c r="E295" i="1"/>
  <c r="D295" i="1"/>
  <c r="C295" i="1"/>
  <c r="B295" i="1"/>
  <c r="E294" i="1"/>
  <c r="D294" i="1"/>
  <c r="C294" i="1"/>
  <c r="B294" i="1"/>
  <c r="E293" i="1"/>
  <c r="D293" i="1"/>
  <c r="C293" i="1"/>
  <c r="B293" i="1"/>
  <c r="E292" i="1"/>
  <c r="D292" i="1"/>
  <c r="C292" i="1"/>
  <c r="B292" i="1"/>
  <c r="E291" i="1"/>
  <c r="D291" i="1"/>
  <c r="C291" i="1"/>
  <c r="B291" i="1"/>
  <c r="E290" i="1"/>
  <c r="D290" i="1"/>
  <c r="C290" i="1"/>
  <c r="B290" i="1"/>
  <c r="E289" i="1"/>
  <c r="D289" i="1"/>
  <c r="C289" i="1"/>
  <c r="B289" i="1"/>
  <c r="E288" i="1"/>
  <c r="D288" i="1"/>
  <c r="C288" i="1"/>
  <c r="B288" i="1"/>
  <c r="E287" i="1"/>
  <c r="D287" i="1"/>
  <c r="C287" i="1"/>
  <c r="B287" i="1"/>
  <c r="E286" i="1"/>
  <c r="D286" i="1"/>
  <c r="C286" i="1"/>
  <c r="B286" i="1"/>
  <c r="E285" i="1"/>
  <c r="D285" i="1"/>
  <c r="C285" i="1"/>
  <c r="B285" i="1"/>
  <c r="E284" i="1"/>
  <c r="D284" i="1"/>
  <c r="C284" i="1"/>
  <c r="B284" i="1"/>
  <c r="E283" i="1"/>
  <c r="D283" i="1"/>
  <c r="C283" i="1"/>
  <c r="B283" i="1"/>
  <c r="E282" i="1"/>
  <c r="D282" i="1"/>
  <c r="C282" i="1"/>
  <c r="B282" i="1"/>
  <c r="E281" i="1"/>
  <c r="D281" i="1"/>
  <c r="C281" i="1"/>
  <c r="B281" i="1"/>
  <c r="E280" i="1"/>
  <c r="D280" i="1"/>
  <c r="C280" i="1"/>
  <c r="B280" i="1"/>
  <c r="E279" i="1"/>
  <c r="D279" i="1"/>
  <c r="C279" i="1"/>
  <c r="B279" i="1"/>
  <c r="E278" i="1"/>
  <c r="D278" i="1"/>
  <c r="C278" i="1"/>
  <c r="B278" i="1"/>
  <c r="E277" i="1"/>
  <c r="D277" i="1"/>
  <c r="C277" i="1"/>
  <c r="B277" i="1"/>
  <c r="E276" i="1"/>
  <c r="D276" i="1"/>
  <c r="C276" i="1"/>
  <c r="B276" i="1"/>
  <c r="E275" i="1"/>
  <c r="D275" i="1"/>
  <c r="C275" i="1"/>
  <c r="B275" i="1"/>
  <c r="E274" i="1"/>
  <c r="D274" i="1"/>
  <c r="C274" i="1"/>
  <c r="B274" i="1"/>
  <c r="E273" i="1"/>
  <c r="D273" i="1"/>
  <c r="C273" i="1"/>
  <c r="B273" i="1"/>
  <c r="E272" i="1"/>
  <c r="D272" i="1"/>
  <c r="C272" i="1"/>
  <c r="B272" i="1"/>
  <c r="E271" i="1"/>
  <c r="D271" i="1"/>
  <c r="C271" i="1"/>
  <c r="B271" i="1"/>
  <c r="E270" i="1"/>
  <c r="D270" i="1"/>
  <c r="C270" i="1"/>
  <c r="B270" i="1"/>
  <c r="E269" i="1"/>
  <c r="D269" i="1"/>
  <c r="C269" i="1"/>
  <c r="B269" i="1"/>
  <c r="E268" i="1"/>
  <c r="D268" i="1"/>
  <c r="C268" i="1"/>
  <c r="B268" i="1"/>
  <c r="E267" i="1"/>
  <c r="D267" i="1"/>
  <c r="C267" i="1"/>
  <c r="B267" i="1"/>
  <c r="E266" i="1"/>
  <c r="D266" i="1"/>
  <c r="C266" i="1"/>
  <c r="B266" i="1"/>
  <c r="E265" i="1"/>
  <c r="D265" i="1"/>
  <c r="C265" i="1"/>
  <c r="B265" i="1"/>
  <c r="E264" i="1"/>
  <c r="D264" i="1"/>
  <c r="C264" i="1"/>
  <c r="B264" i="1"/>
  <c r="E263" i="1"/>
  <c r="D263" i="1"/>
  <c r="C263" i="1"/>
  <c r="B263" i="1"/>
  <c r="E262" i="1"/>
  <c r="D262" i="1"/>
  <c r="C262" i="1"/>
  <c r="B262" i="1"/>
  <c r="E261" i="1"/>
  <c r="D261" i="1"/>
  <c r="C261" i="1"/>
  <c r="B261" i="1"/>
  <c r="E260" i="1"/>
  <c r="D260" i="1"/>
  <c r="C260" i="1"/>
  <c r="B260" i="1"/>
  <c r="E259" i="1"/>
  <c r="D259" i="1"/>
  <c r="C259" i="1"/>
  <c r="B259" i="1"/>
  <c r="E258" i="1"/>
  <c r="D258" i="1"/>
  <c r="C258" i="1"/>
  <c r="B258" i="1"/>
  <c r="E257" i="1"/>
  <c r="D257" i="1"/>
  <c r="C257" i="1"/>
  <c r="B257" i="1"/>
  <c r="E256" i="1"/>
  <c r="D256" i="1"/>
  <c r="C256" i="1"/>
  <c r="B256" i="1"/>
  <c r="E255" i="1"/>
  <c r="D255" i="1"/>
  <c r="C255" i="1"/>
  <c r="B255" i="1"/>
  <c r="E254" i="1"/>
  <c r="D254" i="1"/>
  <c r="C254" i="1"/>
  <c r="B254" i="1"/>
  <c r="E253" i="1"/>
  <c r="D253" i="1"/>
  <c r="C253" i="1"/>
  <c r="B253" i="1"/>
  <c r="E252" i="1"/>
  <c r="D252" i="1"/>
  <c r="C252" i="1"/>
  <c r="B252" i="1"/>
  <c r="E251" i="1"/>
  <c r="D251" i="1"/>
  <c r="C251" i="1"/>
  <c r="B251" i="1"/>
  <c r="E250" i="1"/>
  <c r="D250" i="1"/>
  <c r="C250" i="1"/>
  <c r="B250" i="1"/>
  <c r="E249" i="1"/>
  <c r="D249" i="1"/>
  <c r="C249" i="1"/>
  <c r="B249" i="1"/>
  <c r="E248" i="1"/>
  <c r="D248" i="1"/>
  <c r="C248" i="1"/>
  <c r="B248" i="1"/>
  <c r="E247" i="1"/>
  <c r="D247" i="1"/>
  <c r="C247" i="1"/>
  <c r="B247" i="1"/>
  <c r="E246" i="1"/>
  <c r="D246" i="1"/>
  <c r="C246" i="1"/>
  <c r="B246" i="1"/>
  <c r="E245" i="1"/>
  <c r="D245" i="1"/>
  <c r="C245" i="1"/>
  <c r="B245" i="1"/>
  <c r="E244" i="1"/>
  <c r="D244" i="1"/>
  <c r="C244" i="1"/>
  <c r="B244" i="1"/>
  <c r="E243" i="1"/>
  <c r="D243" i="1"/>
  <c r="C243" i="1"/>
  <c r="B243" i="1"/>
  <c r="E242" i="1"/>
  <c r="D242" i="1"/>
  <c r="C242" i="1"/>
  <c r="B242" i="1"/>
  <c r="E241" i="1"/>
  <c r="D241" i="1"/>
  <c r="C241" i="1"/>
  <c r="B241" i="1"/>
  <c r="E240" i="1"/>
  <c r="D240" i="1"/>
  <c r="C240" i="1"/>
  <c r="B240" i="1"/>
  <c r="E239" i="1"/>
  <c r="D239" i="1"/>
  <c r="C239" i="1"/>
  <c r="B239" i="1"/>
  <c r="E238" i="1"/>
  <c r="D238" i="1"/>
  <c r="C238" i="1"/>
  <c r="B238" i="1"/>
  <c r="E237" i="1"/>
  <c r="D237" i="1"/>
  <c r="C237" i="1"/>
  <c r="B237" i="1"/>
  <c r="E236" i="1"/>
  <c r="D236" i="1"/>
  <c r="C236" i="1"/>
  <c r="B236" i="1"/>
  <c r="E235" i="1"/>
  <c r="D235" i="1"/>
  <c r="C235" i="1"/>
  <c r="B235" i="1"/>
  <c r="E234" i="1"/>
  <c r="D234" i="1"/>
  <c r="C234" i="1"/>
  <c r="B234" i="1"/>
  <c r="E233" i="1"/>
  <c r="D233" i="1"/>
  <c r="C233" i="1"/>
  <c r="B233" i="1"/>
  <c r="E232" i="1"/>
  <c r="D232" i="1"/>
  <c r="C232" i="1"/>
  <c r="B232" i="1"/>
  <c r="E231" i="1"/>
  <c r="D231" i="1"/>
  <c r="C231" i="1"/>
  <c r="B231" i="1"/>
  <c r="E230" i="1"/>
  <c r="D230" i="1"/>
  <c r="C230" i="1"/>
  <c r="B230" i="1"/>
  <c r="E229" i="1"/>
  <c r="D229" i="1"/>
  <c r="C229" i="1"/>
  <c r="B229" i="1"/>
  <c r="E228" i="1"/>
  <c r="D228" i="1"/>
  <c r="C228" i="1"/>
  <c r="B228" i="1"/>
  <c r="E227" i="1"/>
  <c r="D227" i="1"/>
  <c r="C227" i="1"/>
  <c r="B227" i="1"/>
  <c r="E226" i="1"/>
  <c r="D226" i="1"/>
  <c r="C226" i="1"/>
  <c r="B226" i="1"/>
  <c r="E225" i="1"/>
  <c r="D225" i="1"/>
  <c r="C225" i="1"/>
  <c r="B225" i="1"/>
  <c r="E224" i="1"/>
  <c r="D224" i="1"/>
  <c r="C224" i="1"/>
  <c r="B224" i="1"/>
  <c r="E223" i="1"/>
  <c r="D223" i="1"/>
  <c r="C223" i="1"/>
  <c r="B223" i="1"/>
  <c r="E222" i="1"/>
  <c r="D222" i="1"/>
  <c r="C222" i="1"/>
  <c r="B222" i="1"/>
  <c r="E221" i="1"/>
  <c r="D221" i="1"/>
  <c r="C221" i="1"/>
  <c r="B221" i="1"/>
  <c r="E220" i="1"/>
  <c r="D220" i="1"/>
  <c r="C220" i="1"/>
  <c r="B220" i="1"/>
  <c r="E219" i="1"/>
  <c r="D219" i="1"/>
  <c r="C219" i="1"/>
  <c r="B219" i="1"/>
  <c r="E218" i="1"/>
  <c r="D218" i="1"/>
  <c r="C218" i="1"/>
  <c r="B218" i="1"/>
  <c r="E217" i="1"/>
  <c r="D217" i="1"/>
  <c r="C217" i="1"/>
  <c r="B217" i="1"/>
  <c r="E216" i="1"/>
  <c r="D216" i="1"/>
  <c r="C216" i="1"/>
  <c r="B216" i="1"/>
  <c r="E215" i="1"/>
  <c r="D215" i="1"/>
  <c r="C215" i="1"/>
  <c r="B215" i="1"/>
  <c r="E214" i="1"/>
  <c r="D214" i="1"/>
  <c r="C214" i="1"/>
  <c r="B214" i="1"/>
  <c r="E213" i="1"/>
  <c r="D213" i="1"/>
  <c r="C213" i="1"/>
  <c r="B213" i="1"/>
  <c r="E212" i="1"/>
  <c r="D212" i="1"/>
  <c r="C212" i="1"/>
  <c r="B212" i="1"/>
  <c r="E211" i="1"/>
  <c r="D211" i="1"/>
  <c r="C211" i="1"/>
  <c r="B211" i="1"/>
  <c r="E210" i="1"/>
  <c r="D210" i="1"/>
  <c r="C210" i="1"/>
  <c r="B210" i="1"/>
  <c r="E209" i="1"/>
  <c r="D209" i="1"/>
  <c r="C209" i="1"/>
  <c r="B209" i="1"/>
  <c r="E208" i="1"/>
  <c r="D208" i="1"/>
  <c r="C208" i="1"/>
  <c r="B208" i="1"/>
  <c r="E207" i="1"/>
  <c r="D207" i="1"/>
  <c r="C207" i="1"/>
  <c r="B207" i="1"/>
  <c r="E206" i="1"/>
  <c r="D206" i="1"/>
  <c r="C206" i="1"/>
  <c r="B206" i="1"/>
  <c r="E205" i="1"/>
  <c r="D205" i="1"/>
  <c r="C205" i="1"/>
  <c r="B205" i="1"/>
  <c r="E204" i="1"/>
  <c r="D204" i="1"/>
  <c r="C204" i="1"/>
  <c r="B204" i="1"/>
  <c r="E203" i="1"/>
  <c r="D203" i="1"/>
  <c r="C203" i="1"/>
  <c r="B203" i="1"/>
  <c r="E202" i="1"/>
  <c r="D202" i="1"/>
  <c r="C202" i="1"/>
  <c r="B202" i="1"/>
  <c r="E201" i="1"/>
  <c r="D201" i="1"/>
  <c r="C201" i="1"/>
  <c r="B201" i="1"/>
  <c r="E200" i="1"/>
  <c r="D200" i="1"/>
  <c r="C200" i="1"/>
  <c r="B200" i="1"/>
  <c r="E199" i="1"/>
  <c r="D199" i="1"/>
  <c r="C199" i="1"/>
  <c r="B199" i="1"/>
  <c r="E198" i="1"/>
  <c r="D198" i="1"/>
  <c r="C198" i="1"/>
  <c r="B198" i="1"/>
  <c r="E197" i="1"/>
  <c r="D197" i="1"/>
  <c r="C197" i="1"/>
  <c r="B197" i="1"/>
  <c r="E196" i="1"/>
  <c r="D196" i="1"/>
  <c r="C196" i="1"/>
  <c r="B196" i="1"/>
  <c r="E195" i="1"/>
  <c r="D195" i="1"/>
  <c r="C195" i="1"/>
  <c r="B195" i="1"/>
  <c r="E194" i="1"/>
  <c r="D194" i="1"/>
  <c r="C194" i="1"/>
  <c r="B194" i="1"/>
  <c r="E193" i="1"/>
  <c r="D193" i="1"/>
  <c r="C193" i="1"/>
  <c r="B193" i="1"/>
  <c r="E192" i="1"/>
  <c r="D192" i="1"/>
  <c r="C192" i="1"/>
  <c r="B192" i="1"/>
  <c r="E191" i="1"/>
  <c r="D191" i="1"/>
  <c r="C191" i="1"/>
  <c r="B191" i="1"/>
  <c r="E190" i="1"/>
  <c r="D190" i="1"/>
  <c r="C190" i="1"/>
  <c r="B190" i="1"/>
  <c r="E189" i="1"/>
  <c r="D189" i="1"/>
  <c r="C189" i="1"/>
  <c r="B189" i="1"/>
  <c r="E188" i="1"/>
  <c r="D188" i="1"/>
  <c r="C188" i="1"/>
  <c r="B188" i="1"/>
  <c r="E187" i="1"/>
  <c r="D187" i="1"/>
  <c r="C187" i="1"/>
  <c r="B187" i="1"/>
  <c r="E186" i="1"/>
  <c r="D186" i="1"/>
  <c r="C186" i="1"/>
  <c r="B186" i="1"/>
  <c r="E185" i="1"/>
  <c r="D185" i="1"/>
  <c r="C185" i="1"/>
  <c r="B185" i="1"/>
  <c r="E184" i="1"/>
  <c r="D184" i="1"/>
  <c r="C184" i="1"/>
  <c r="B184" i="1"/>
  <c r="E183" i="1"/>
  <c r="D183" i="1"/>
  <c r="C183" i="1"/>
  <c r="B183" i="1"/>
  <c r="E182" i="1"/>
  <c r="D182" i="1"/>
  <c r="C182" i="1"/>
  <c r="B182" i="1"/>
  <c r="E181" i="1"/>
  <c r="D181" i="1"/>
  <c r="C181" i="1"/>
  <c r="B181" i="1"/>
  <c r="E180" i="1"/>
  <c r="D180" i="1"/>
  <c r="C180" i="1"/>
  <c r="B180" i="1"/>
  <c r="E179" i="1"/>
  <c r="D179" i="1"/>
  <c r="C179" i="1"/>
  <c r="B179" i="1"/>
  <c r="E178" i="1"/>
  <c r="D178" i="1"/>
  <c r="C178" i="1"/>
  <c r="B178" i="1"/>
  <c r="E177" i="1"/>
  <c r="D177" i="1"/>
  <c r="C177" i="1"/>
  <c r="B177" i="1"/>
  <c r="E176" i="1"/>
  <c r="D176" i="1"/>
  <c r="C176" i="1"/>
  <c r="B176" i="1"/>
  <c r="E175" i="1"/>
  <c r="D175" i="1"/>
  <c r="C175" i="1"/>
  <c r="B175" i="1"/>
  <c r="E174" i="1"/>
  <c r="D174" i="1"/>
  <c r="C174" i="1"/>
  <c r="B174" i="1"/>
  <c r="E173" i="1"/>
  <c r="D173" i="1"/>
  <c r="C173" i="1"/>
  <c r="B173" i="1"/>
  <c r="E172" i="1"/>
  <c r="D172" i="1"/>
  <c r="C172" i="1"/>
  <c r="B172" i="1"/>
  <c r="E171" i="1"/>
  <c r="D171" i="1"/>
  <c r="C171" i="1"/>
  <c r="B171" i="1"/>
  <c r="E170" i="1"/>
  <c r="D170" i="1"/>
  <c r="C170" i="1"/>
  <c r="B170" i="1"/>
  <c r="E169" i="1"/>
  <c r="D169" i="1"/>
  <c r="C169" i="1"/>
  <c r="B169" i="1"/>
  <c r="E168" i="1"/>
  <c r="D168" i="1"/>
  <c r="C168" i="1"/>
  <c r="B168" i="1"/>
  <c r="E167" i="1"/>
  <c r="D167" i="1"/>
  <c r="C167" i="1"/>
  <c r="B167" i="1"/>
  <c r="E166" i="1"/>
  <c r="D166" i="1"/>
  <c r="C166" i="1"/>
  <c r="B166" i="1"/>
  <c r="E165" i="1"/>
  <c r="D165" i="1"/>
  <c r="C165" i="1"/>
  <c r="B165" i="1"/>
  <c r="E164" i="1"/>
  <c r="D164" i="1"/>
  <c r="C164" i="1"/>
  <c r="B164" i="1"/>
  <c r="E163" i="1"/>
  <c r="D163" i="1"/>
  <c r="C163" i="1"/>
  <c r="B163" i="1"/>
  <c r="E162" i="1"/>
  <c r="D162" i="1"/>
  <c r="C162" i="1"/>
  <c r="B162" i="1"/>
  <c r="E161" i="1"/>
  <c r="D161" i="1"/>
  <c r="C161" i="1"/>
  <c r="B161" i="1"/>
  <c r="E160" i="1"/>
  <c r="D160" i="1"/>
  <c r="C160" i="1"/>
  <c r="B160" i="1"/>
  <c r="E159" i="1"/>
  <c r="D159" i="1"/>
  <c r="C159" i="1"/>
  <c r="B159" i="1"/>
  <c r="E158" i="1"/>
  <c r="D158" i="1"/>
  <c r="C158" i="1"/>
  <c r="B158" i="1"/>
  <c r="E157" i="1"/>
  <c r="D157" i="1"/>
  <c r="C157" i="1"/>
  <c r="B157" i="1"/>
  <c r="E156" i="1"/>
  <c r="D156" i="1"/>
  <c r="C156" i="1"/>
  <c r="B156" i="1"/>
  <c r="E155" i="1"/>
  <c r="D155" i="1"/>
  <c r="C155" i="1"/>
  <c r="B155" i="1"/>
  <c r="E154" i="1"/>
  <c r="D154" i="1"/>
  <c r="C154" i="1"/>
  <c r="B154" i="1"/>
  <c r="E153" i="1"/>
  <c r="D153" i="1"/>
  <c r="C153" i="1"/>
  <c r="B153" i="1"/>
  <c r="E152" i="1"/>
  <c r="D152" i="1"/>
  <c r="C152" i="1"/>
  <c r="B152" i="1"/>
  <c r="E151" i="1"/>
  <c r="D151" i="1"/>
  <c r="C151" i="1"/>
  <c r="B151" i="1"/>
  <c r="E150" i="1"/>
  <c r="D150" i="1"/>
  <c r="C150" i="1"/>
  <c r="B150" i="1"/>
  <c r="E149" i="1"/>
  <c r="D149" i="1"/>
  <c r="C149" i="1"/>
  <c r="B149" i="1"/>
  <c r="E148" i="1"/>
  <c r="D148" i="1"/>
  <c r="C148" i="1"/>
  <c r="B148" i="1"/>
  <c r="E147" i="1"/>
  <c r="D147" i="1"/>
  <c r="C147" i="1"/>
  <c r="B147" i="1"/>
  <c r="E146" i="1"/>
  <c r="D146" i="1"/>
  <c r="C146" i="1"/>
  <c r="B146" i="1"/>
  <c r="E145" i="1"/>
  <c r="D145" i="1"/>
  <c r="C145" i="1"/>
  <c r="B145" i="1"/>
  <c r="E144" i="1"/>
  <c r="D144" i="1"/>
  <c r="C144" i="1"/>
  <c r="B144" i="1"/>
  <c r="E143" i="1"/>
  <c r="D143" i="1"/>
  <c r="C143" i="1"/>
  <c r="B143" i="1"/>
  <c r="E142" i="1"/>
  <c r="D142" i="1"/>
  <c r="C142" i="1"/>
  <c r="B142" i="1"/>
  <c r="E141" i="1"/>
  <c r="D141" i="1"/>
  <c r="C141" i="1"/>
  <c r="B141" i="1"/>
  <c r="E140" i="1"/>
  <c r="D140" i="1"/>
  <c r="C140" i="1"/>
  <c r="B140" i="1"/>
  <c r="E139" i="1"/>
  <c r="D139" i="1"/>
  <c r="C139" i="1"/>
  <c r="B139" i="1"/>
  <c r="E138" i="1"/>
  <c r="D138" i="1"/>
  <c r="C138" i="1"/>
  <c r="B138" i="1"/>
  <c r="E137" i="1"/>
  <c r="D137" i="1"/>
  <c r="C137" i="1"/>
  <c r="B137" i="1"/>
  <c r="E136" i="1"/>
  <c r="D136" i="1"/>
  <c r="C136" i="1"/>
  <c r="B136" i="1"/>
  <c r="E135" i="1"/>
  <c r="D135" i="1"/>
  <c r="C135" i="1"/>
  <c r="B135" i="1"/>
  <c r="E134" i="1"/>
  <c r="D134" i="1"/>
  <c r="C134" i="1"/>
  <c r="B134" i="1"/>
  <c r="E133" i="1"/>
  <c r="D133" i="1"/>
  <c r="C133" i="1"/>
  <c r="B133" i="1"/>
  <c r="E132" i="1"/>
  <c r="D132" i="1"/>
  <c r="C132" i="1"/>
  <c r="B132" i="1"/>
  <c r="E131" i="1"/>
  <c r="D131" i="1"/>
  <c r="C131" i="1"/>
  <c r="B131" i="1"/>
  <c r="E130" i="1"/>
  <c r="D130" i="1"/>
  <c r="C130" i="1"/>
  <c r="B130" i="1"/>
  <c r="E129" i="1"/>
  <c r="D129" i="1"/>
  <c r="C129" i="1"/>
  <c r="B129" i="1"/>
  <c r="E128" i="1"/>
  <c r="D128" i="1"/>
  <c r="C128" i="1"/>
  <c r="B128" i="1"/>
  <c r="E127" i="1"/>
  <c r="D127" i="1"/>
  <c r="C127" i="1"/>
  <c r="B127" i="1"/>
  <c r="E126" i="1"/>
  <c r="D126" i="1"/>
  <c r="C126" i="1"/>
  <c r="B126" i="1"/>
  <c r="E125" i="1"/>
  <c r="D125" i="1"/>
  <c r="C125" i="1"/>
  <c r="B125" i="1"/>
  <c r="E124" i="1"/>
  <c r="D124" i="1"/>
  <c r="C124" i="1"/>
  <c r="B124" i="1"/>
  <c r="E123" i="1"/>
  <c r="D123" i="1"/>
  <c r="C123" i="1"/>
  <c r="B123" i="1"/>
  <c r="E122" i="1"/>
  <c r="D122" i="1"/>
  <c r="C122" i="1"/>
  <c r="B122" i="1"/>
  <c r="E121" i="1"/>
  <c r="D121" i="1"/>
  <c r="C121" i="1"/>
  <c r="B121" i="1"/>
  <c r="E120" i="1"/>
  <c r="D120" i="1"/>
  <c r="C120" i="1"/>
  <c r="B120" i="1"/>
  <c r="E119" i="1"/>
  <c r="D119" i="1"/>
  <c r="C119" i="1"/>
  <c r="B119" i="1"/>
  <c r="E118" i="1"/>
  <c r="D118" i="1"/>
  <c r="C118" i="1"/>
  <c r="B118" i="1"/>
  <c r="E117" i="1"/>
  <c r="D117" i="1"/>
  <c r="C117" i="1"/>
  <c r="B117" i="1"/>
  <c r="E116" i="1"/>
  <c r="D116" i="1"/>
  <c r="C116" i="1"/>
  <c r="B116" i="1"/>
  <c r="E115" i="1"/>
  <c r="D115" i="1"/>
  <c r="C115" i="1"/>
  <c r="B115" i="1"/>
  <c r="E114" i="1"/>
  <c r="D114" i="1"/>
  <c r="C114" i="1"/>
  <c r="B114" i="1"/>
  <c r="E113" i="1"/>
  <c r="D113" i="1"/>
  <c r="C113" i="1"/>
  <c r="B113" i="1"/>
  <c r="E112" i="1"/>
  <c r="D112" i="1"/>
  <c r="C112" i="1"/>
  <c r="B112" i="1"/>
  <c r="E111" i="1"/>
  <c r="D111" i="1"/>
  <c r="C111" i="1"/>
  <c r="B111" i="1"/>
  <c r="E110" i="1"/>
  <c r="D110" i="1"/>
  <c r="C110" i="1"/>
  <c r="B110" i="1"/>
  <c r="E109" i="1"/>
  <c r="D109" i="1"/>
  <c r="C109" i="1"/>
  <c r="B109" i="1"/>
  <c r="E108" i="1"/>
  <c r="D108" i="1"/>
  <c r="C108" i="1"/>
  <c r="B108" i="1"/>
  <c r="E107" i="1"/>
  <c r="D107" i="1"/>
  <c r="C107" i="1"/>
  <c r="B107" i="1"/>
  <c r="E106" i="1"/>
  <c r="D106" i="1"/>
  <c r="C106" i="1"/>
  <c r="B106" i="1"/>
  <c r="E105" i="1"/>
  <c r="D105" i="1"/>
  <c r="C105" i="1"/>
  <c r="B105" i="1"/>
  <c r="E104" i="1"/>
  <c r="D104" i="1"/>
  <c r="C104" i="1"/>
  <c r="B104" i="1"/>
  <c r="E103" i="1"/>
  <c r="D103" i="1"/>
  <c r="C103" i="1"/>
  <c r="B103" i="1"/>
  <c r="E102" i="1"/>
  <c r="D102" i="1"/>
  <c r="C102" i="1"/>
  <c r="B102" i="1"/>
  <c r="E101" i="1"/>
  <c r="D101" i="1"/>
  <c r="C101" i="1"/>
  <c r="B101" i="1"/>
  <c r="E100" i="1"/>
  <c r="D100" i="1"/>
  <c r="C100" i="1"/>
  <c r="B100" i="1"/>
  <c r="E99" i="1"/>
  <c r="D99" i="1"/>
  <c r="C99" i="1"/>
  <c r="B99" i="1"/>
  <c r="E98" i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2" i="1"/>
  <c r="D2" i="1"/>
  <c r="C2" i="1"/>
  <c r="B2" i="1"/>
</calcChain>
</file>

<file path=xl/sharedStrings.xml><?xml version="1.0" encoding="utf-8"?>
<sst xmlns="http://schemas.openxmlformats.org/spreadsheetml/2006/main" count="6" uniqueCount="6">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</sst>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64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9"/>
  <sheetViews>
    <sheetView tabSelected="1" zoomScale="85" zoomScaleNormal="85" workbookViewId="0">
      <selection sqref="A1:C1048576"/>
    </sheetView>
  </sheetViews>
  <sheetFormatPr defaultRowHeight="15" x14ac:dyDescent="0.25"/>
  <cols>
    <col min="6" max="6" width="19" style="2" bestFit="1" customWidth="1"/>
    <col min="10" max="10" width="19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</row>
    <row r="2" spans="1:6" x14ac:dyDescent="0.25">
      <c r="A2">
        <v>1001</v>
      </c>
      <c r="B2" t="str">
        <f>"Наличность в кассе"</f>
        <v>Наличность в кассе</v>
      </c>
      <c r="C2" t="str">
        <f>"2"</f>
        <v>2</v>
      </c>
      <c r="D2" t="str">
        <f t="shared" ref="D2:D9" si="0">"3"</f>
        <v>3</v>
      </c>
      <c r="E2" t="str">
        <f>"2"</f>
        <v>2</v>
      </c>
      <c r="F2" s="2">
        <v>15299126914.799999</v>
      </c>
    </row>
    <row r="3" spans="1:6" x14ac:dyDescent="0.25">
      <c r="A3">
        <v>1001</v>
      </c>
      <c r="B3" t="str">
        <f>"Наличность в кассе"</f>
        <v>Наличность в кассе</v>
      </c>
      <c r="C3" t="str">
        <f>"1"</f>
        <v>1</v>
      </c>
      <c r="D3" t="str">
        <f t="shared" si="0"/>
        <v>3</v>
      </c>
      <c r="E3" t="str">
        <f>"1"</f>
        <v>1</v>
      </c>
      <c r="F3" s="2">
        <v>2907224773</v>
      </c>
    </row>
    <row r="4" spans="1:6" x14ac:dyDescent="0.25">
      <c r="A4">
        <v>1001</v>
      </c>
      <c r="B4" t="str">
        <f>"Наличность в кассе"</f>
        <v>Наличность в кассе</v>
      </c>
      <c r="C4" t="str">
        <f>"2"</f>
        <v>2</v>
      </c>
      <c r="D4" t="str">
        <f t="shared" si="0"/>
        <v>3</v>
      </c>
      <c r="E4" t="str">
        <f>"3"</f>
        <v>3</v>
      </c>
      <c r="F4" s="2">
        <v>899111551.10000002</v>
      </c>
    </row>
    <row r="5" spans="1:6" x14ac:dyDescent="0.25">
      <c r="A5">
        <v>1002</v>
      </c>
      <c r="B5" t="str">
        <f>"Банкноты и монеты в пути"</f>
        <v>Банкноты и монеты в пути</v>
      </c>
      <c r="C5" t="str">
        <f>"2"</f>
        <v>2</v>
      </c>
      <c r="D5" t="str">
        <f t="shared" si="0"/>
        <v>3</v>
      </c>
      <c r="E5" t="str">
        <f>"2"</f>
        <v>2</v>
      </c>
      <c r="F5" s="2">
        <v>1571494024.75</v>
      </c>
    </row>
    <row r="6" spans="1:6" x14ac:dyDescent="0.25">
      <c r="A6">
        <v>1002</v>
      </c>
      <c r="B6" t="str">
        <f>"Банкноты и монеты в пути"</f>
        <v>Банкноты и монеты в пути</v>
      </c>
      <c r="C6" t="str">
        <f>"1"</f>
        <v>1</v>
      </c>
      <c r="D6" t="str">
        <f t="shared" si="0"/>
        <v>3</v>
      </c>
      <c r="E6" t="str">
        <f>"1"</f>
        <v>1</v>
      </c>
      <c r="F6" s="2">
        <v>3493503063</v>
      </c>
    </row>
    <row r="7" spans="1:6" x14ac:dyDescent="0.25">
      <c r="A7">
        <v>1002</v>
      </c>
      <c r="B7" t="str">
        <f>"Банкноты и монеты в пути"</f>
        <v>Банкноты и монеты в пути</v>
      </c>
      <c r="C7" t="str">
        <f>"2"</f>
        <v>2</v>
      </c>
      <c r="D7" t="str">
        <f t="shared" si="0"/>
        <v>3</v>
      </c>
      <c r="E7" t="str">
        <f>"3"</f>
        <v>3</v>
      </c>
      <c r="F7" s="2">
        <v>41301676.799999997</v>
      </c>
    </row>
    <row r="8" spans="1:6" x14ac:dyDescent="0.25">
      <c r="A8">
        <v>1005</v>
      </c>
      <c r="B8" t="str">
        <f>"Наличность в банкоматах и электронных терминалах"</f>
        <v>Наличность в банкоматах и электронных терминалах</v>
      </c>
      <c r="C8" t="str">
        <f>"1"</f>
        <v>1</v>
      </c>
      <c r="D8" t="str">
        <f t="shared" si="0"/>
        <v>3</v>
      </c>
      <c r="E8" t="str">
        <f>"1"</f>
        <v>1</v>
      </c>
      <c r="F8" s="2">
        <v>8286250902.9300003</v>
      </c>
    </row>
    <row r="9" spans="1:6" x14ac:dyDescent="0.25">
      <c r="A9">
        <v>1005</v>
      </c>
      <c r="B9" t="str">
        <f>"Наличность в банкоматах и электронных терминалах"</f>
        <v>Наличность в банкоматах и электронных терминалах</v>
      </c>
      <c r="C9" t="str">
        <f>"2"</f>
        <v>2</v>
      </c>
      <c r="D9" t="str">
        <f t="shared" si="0"/>
        <v>3</v>
      </c>
      <c r="E9" t="str">
        <f>"2"</f>
        <v>2</v>
      </c>
      <c r="F9" s="2">
        <v>215900</v>
      </c>
    </row>
    <row r="10" spans="1:6" x14ac:dyDescent="0.25">
      <c r="A10">
        <v>1011</v>
      </c>
      <c r="B10" t="str">
        <f>"Аффинированные драгоценные металлы"</f>
        <v>Аффинированные драгоценные металлы</v>
      </c>
      <c r="C10" t="str">
        <f>""</f>
        <v/>
      </c>
      <c r="D10" t="str">
        <f>""</f>
        <v/>
      </c>
      <c r="E10" t="str">
        <f>""</f>
        <v/>
      </c>
      <c r="F10" s="2">
        <v>93688318.519999996</v>
      </c>
    </row>
    <row r="11" spans="1:6" x14ac:dyDescent="0.25">
      <c r="A11">
        <v>1051</v>
      </c>
      <c r="B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1" t="str">
        <f>"1"</f>
        <v>1</v>
      </c>
      <c r="D11" t="str">
        <f>"3"</f>
        <v>3</v>
      </c>
      <c r="E11" t="str">
        <f>"1"</f>
        <v>1</v>
      </c>
      <c r="F11" s="2">
        <v>21339505692.779999</v>
      </c>
    </row>
    <row r="12" spans="1:6" x14ac:dyDescent="0.25">
      <c r="A12">
        <v>1051</v>
      </c>
      <c r="B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2" t="str">
        <f>"1"</f>
        <v>1</v>
      </c>
      <c r="D12" t="str">
        <f>"3"</f>
        <v>3</v>
      </c>
      <c r="E12" t="str">
        <f>"2"</f>
        <v>2</v>
      </c>
      <c r="F12" s="2">
        <v>55874833767.32</v>
      </c>
    </row>
    <row r="13" spans="1:6" x14ac:dyDescent="0.25">
      <c r="A13">
        <v>1052</v>
      </c>
      <c r="B13" t="str">
        <f t="shared" ref="B13:B20" si="1">"Корреспондентские счета в других банках"</f>
        <v>Корреспондентские счета в других банках</v>
      </c>
      <c r="C13" t="str">
        <f>"1"</f>
        <v>1</v>
      </c>
      <c r="D13" t="str">
        <f>"5"</f>
        <v>5</v>
      </c>
      <c r="E13" t="str">
        <f>"2"</f>
        <v>2</v>
      </c>
      <c r="F13" s="2">
        <v>28641294</v>
      </c>
    </row>
    <row r="14" spans="1:6" x14ac:dyDescent="0.25">
      <c r="A14">
        <v>1052</v>
      </c>
      <c r="B14" t="str">
        <f t="shared" si="1"/>
        <v>Корреспондентские счета в других банках</v>
      </c>
      <c r="C14" t="str">
        <f>"2"</f>
        <v>2</v>
      </c>
      <c r="D14" t="str">
        <f>"5"</f>
        <v>5</v>
      </c>
      <c r="E14" t="str">
        <f>"2"</f>
        <v>2</v>
      </c>
      <c r="F14" s="2">
        <v>358711352.36000001</v>
      </c>
    </row>
    <row r="15" spans="1:6" x14ac:dyDescent="0.25">
      <c r="A15">
        <v>1052</v>
      </c>
      <c r="B15" t="str">
        <f t="shared" si="1"/>
        <v>Корреспондентские счета в других банках</v>
      </c>
      <c r="C15" t="str">
        <f>"1"</f>
        <v>1</v>
      </c>
      <c r="D15" t="str">
        <f>"4"</f>
        <v>4</v>
      </c>
      <c r="E15" t="str">
        <f>"3"</f>
        <v>3</v>
      </c>
      <c r="F15" s="2">
        <v>388826.86</v>
      </c>
    </row>
    <row r="16" spans="1:6" x14ac:dyDescent="0.25">
      <c r="A16">
        <v>1052</v>
      </c>
      <c r="B16" t="str">
        <f t="shared" si="1"/>
        <v>Корреспондентские счета в других банках</v>
      </c>
      <c r="C16" t="str">
        <f>"1"</f>
        <v>1</v>
      </c>
      <c r="D16" t="str">
        <f>"4"</f>
        <v>4</v>
      </c>
      <c r="E16" t="str">
        <f>"2"</f>
        <v>2</v>
      </c>
      <c r="F16" s="2">
        <v>187241594.03999999</v>
      </c>
    </row>
    <row r="17" spans="1:6" x14ac:dyDescent="0.25">
      <c r="A17">
        <v>1052</v>
      </c>
      <c r="B17" t="str">
        <f t="shared" si="1"/>
        <v>Корреспондентские счета в других банках</v>
      </c>
      <c r="C17" t="str">
        <f>"1"</f>
        <v>1</v>
      </c>
      <c r="D17" t="str">
        <f>"4"</f>
        <v>4</v>
      </c>
      <c r="E17" t="str">
        <f>"1"</f>
        <v>1</v>
      </c>
      <c r="F17" s="2">
        <v>522507208.88</v>
      </c>
    </row>
    <row r="18" spans="1:6" x14ac:dyDescent="0.25">
      <c r="A18">
        <v>1052</v>
      </c>
      <c r="B18" t="str">
        <f t="shared" si="1"/>
        <v>Корреспондентские счета в других банках</v>
      </c>
      <c r="C18" t="str">
        <f>"2"</f>
        <v>2</v>
      </c>
      <c r="D18" t="str">
        <f>"4"</f>
        <v>4</v>
      </c>
      <c r="E18" t="str">
        <f>"3"</f>
        <v>3</v>
      </c>
      <c r="F18" s="2">
        <v>4876380942.7299995</v>
      </c>
    </row>
    <row r="19" spans="1:6" x14ac:dyDescent="0.25">
      <c r="A19">
        <v>1052</v>
      </c>
      <c r="B19" t="str">
        <f t="shared" si="1"/>
        <v>Корреспондентские счета в других банках</v>
      </c>
      <c r="C19" t="str">
        <f>"2"</f>
        <v>2</v>
      </c>
      <c r="D19" t="str">
        <f>"5"</f>
        <v>5</v>
      </c>
      <c r="E19" t="str">
        <f>"3"</f>
        <v>3</v>
      </c>
      <c r="F19" s="2">
        <v>77993240.310000002</v>
      </c>
    </row>
    <row r="20" spans="1:6" x14ac:dyDescent="0.25">
      <c r="A20">
        <v>1052</v>
      </c>
      <c r="B20" t="str">
        <f t="shared" si="1"/>
        <v>Корреспондентские счета в других банках</v>
      </c>
      <c r="C20" t="str">
        <f>"2"</f>
        <v>2</v>
      </c>
      <c r="D20" t="str">
        <f>"4"</f>
        <v>4</v>
      </c>
      <c r="E20" t="str">
        <f>"2"</f>
        <v>2</v>
      </c>
      <c r="F20" s="2">
        <v>62378313346.029999</v>
      </c>
    </row>
    <row r="21" spans="1:6" x14ac:dyDescent="0.25">
      <c r="A21">
        <v>1054</v>
      </c>
      <c r="B2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1" t="str">
        <f>"2"</f>
        <v>2</v>
      </c>
      <c r="D21" t="str">
        <f>"4"</f>
        <v>4</v>
      </c>
      <c r="E21" t="str">
        <f>"2"</f>
        <v>2</v>
      </c>
      <c r="F21" s="2">
        <v>-14970.51</v>
      </c>
    </row>
    <row r="22" spans="1:6" x14ac:dyDescent="0.25">
      <c r="A22">
        <v>1054</v>
      </c>
      <c r="B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2" t="str">
        <f>"1"</f>
        <v>1</v>
      </c>
      <c r="D22" t="str">
        <f>"4"</f>
        <v>4</v>
      </c>
      <c r="E22" t="str">
        <f>"2"</f>
        <v>2</v>
      </c>
      <c r="F22" s="2">
        <v>-8376.92</v>
      </c>
    </row>
    <row r="23" spans="1:6" x14ac:dyDescent="0.25">
      <c r="A23">
        <v>1055</v>
      </c>
      <c r="B23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C23" t="str">
        <f>"1"</f>
        <v>1</v>
      </c>
      <c r="D23" t="str">
        <f>"3"</f>
        <v>3</v>
      </c>
      <c r="E23" t="str">
        <f>"1"</f>
        <v>1</v>
      </c>
      <c r="F23" s="2">
        <v>2012871366.1400001</v>
      </c>
    </row>
    <row r="24" spans="1:6" x14ac:dyDescent="0.25">
      <c r="A24">
        <v>1101</v>
      </c>
      <c r="B2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C24" t="str">
        <f>"1"</f>
        <v>1</v>
      </c>
      <c r="D24" t="str">
        <f>"3"</f>
        <v>3</v>
      </c>
      <c r="E24" t="str">
        <f>"1"</f>
        <v>1</v>
      </c>
      <c r="F24" s="2">
        <v>58000000000</v>
      </c>
    </row>
    <row r="25" spans="1:6" x14ac:dyDescent="0.25">
      <c r="A25">
        <v>1103</v>
      </c>
      <c r="B2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5" t="str">
        <f>"1"</f>
        <v>1</v>
      </c>
      <c r="D25" t="str">
        <f>"3"</f>
        <v>3</v>
      </c>
      <c r="E25" t="str">
        <f>"1"</f>
        <v>1</v>
      </c>
      <c r="F25" s="2">
        <v>10000000000</v>
      </c>
    </row>
    <row r="26" spans="1:6" x14ac:dyDescent="0.25">
      <c r="A26">
        <v>1103</v>
      </c>
      <c r="B26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C26" t="str">
        <f>"1"</f>
        <v>1</v>
      </c>
      <c r="D26" t="str">
        <f>"3"</f>
        <v>3</v>
      </c>
      <c r="E26" t="str">
        <f>"2"</f>
        <v>2</v>
      </c>
      <c r="F26" s="2">
        <v>155448000000</v>
      </c>
    </row>
    <row r="27" spans="1:6" x14ac:dyDescent="0.25">
      <c r="A27">
        <v>1253</v>
      </c>
      <c r="B27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C27" t="str">
        <f>"2"</f>
        <v>2</v>
      </c>
      <c r="D27" t="str">
        <f>"4"</f>
        <v>4</v>
      </c>
      <c r="E27" t="str">
        <f>"3"</f>
        <v>3</v>
      </c>
      <c r="F27" s="2">
        <v>2880000000</v>
      </c>
    </row>
    <row r="28" spans="1:6" x14ac:dyDescent="0.25">
      <c r="A28">
        <v>1253</v>
      </c>
      <c r="B28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C28" t="str">
        <f>"2"</f>
        <v>2</v>
      </c>
      <c r="D28" t="str">
        <f>"4"</f>
        <v>4</v>
      </c>
      <c r="E28" t="str">
        <f>"2"</f>
        <v>2</v>
      </c>
      <c r="F28" s="2">
        <v>8636000000</v>
      </c>
    </row>
    <row r="29" spans="1:6" x14ac:dyDescent="0.25">
      <c r="A29">
        <v>1259</v>
      </c>
      <c r="B2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9" t="str">
        <f>"2"</f>
        <v>2</v>
      </c>
      <c r="D29" t="str">
        <f>"4"</f>
        <v>4</v>
      </c>
      <c r="E29" t="str">
        <f>"3"</f>
        <v>3</v>
      </c>
      <c r="F29" s="2">
        <v>-551398.92000000004</v>
      </c>
    </row>
    <row r="30" spans="1:6" x14ac:dyDescent="0.25">
      <c r="A30">
        <v>1259</v>
      </c>
      <c r="B3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0" t="str">
        <f>"2"</f>
        <v>2</v>
      </c>
      <c r="D30" t="str">
        <f>"4"</f>
        <v>4</v>
      </c>
      <c r="E30" t="str">
        <f>"2"</f>
        <v>2</v>
      </c>
      <c r="F30" s="2">
        <v>-8808720</v>
      </c>
    </row>
    <row r="31" spans="1:6" x14ac:dyDescent="0.25">
      <c r="A31">
        <v>1259</v>
      </c>
      <c r="B3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31" t="str">
        <f>"2"</f>
        <v>2</v>
      </c>
      <c r="D31" t="str">
        <f>"5"</f>
        <v>5</v>
      </c>
      <c r="E31" t="str">
        <f>"2"</f>
        <v>2</v>
      </c>
      <c r="F31" s="2">
        <v>-1351814.67</v>
      </c>
    </row>
    <row r="32" spans="1:6" x14ac:dyDescent="0.25">
      <c r="A32">
        <v>1267</v>
      </c>
      <c r="B3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2" t="str">
        <f>"1"</f>
        <v>1</v>
      </c>
      <c r="D32" t="str">
        <f>"5"</f>
        <v>5</v>
      </c>
      <c r="E32" t="str">
        <f>"1"</f>
        <v>1</v>
      </c>
      <c r="F32" s="2">
        <v>49000000</v>
      </c>
    </row>
    <row r="33" spans="1:6" x14ac:dyDescent="0.25">
      <c r="A33">
        <v>1267</v>
      </c>
      <c r="B3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3" t="str">
        <f>"2"</f>
        <v>2</v>
      </c>
      <c r="D33" t="str">
        <f>"4"</f>
        <v>4</v>
      </c>
      <c r="E33" t="str">
        <f>"3"</f>
        <v>3</v>
      </c>
      <c r="F33" s="2">
        <v>84388111.549999997</v>
      </c>
    </row>
    <row r="34" spans="1:6" x14ac:dyDescent="0.25">
      <c r="A34">
        <v>1267</v>
      </c>
      <c r="B3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4" t="str">
        <f>"1"</f>
        <v>1</v>
      </c>
      <c r="D34" t="str">
        <f>"7"</f>
        <v>7</v>
      </c>
      <c r="E34" t="str">
        <f>"1"</f>
        <v>1</v>
      </c>
      <c r="F34" s="2">
        <v>20000000</v>
      </c>
    </row>
    <row r="35" spans="1:6" x14ac:dyDescent="0.25">
      <c r="A35">
        <v>1267</v>
      </c>
      <c r="B3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5" t="str">
        <f>"2"</f>
        <v>2</v>
      </c>
      <c r="D35" t="str">
        <f>"5"</f>
        <v>5</v>
      </c>
      <c r="E35" t="str">
        <f>"2"</f>
        <v>2</v>
      </c>
      <c r="F35" s="2">
        <v>4120006940.3099999</v>
      </c>
    </row>
    <row r="36" spans="1:6" x14ac:dyDescent="0.25">
      <c r="A36">
        <v>1302</v>
      </c>
      <c r="B36" t="str">
        <f>"Краткосрочные займы, предоставленные другим банкам"</f>
        <v>Краткосрочные займы, предоставленные другим банкам</v>
      </c>
      <c r="C36" t="str">
        <f>"2"</f>
        <v>2</v>
      </c>
      <c r="D36" t="str">
        <f>"4"</f>
        <v>4</v>
      </c>
      <c r="E36" t="str">
        <f>"2"</f>
        <v>2</v>
      </c>
      <c r="F36" s="2">
        <v>615401360</v>
      </c>
    </row>
    <row r="37" spans="1:6" x14ac:dyDescent="0.25">
      <c r="A37">
        <v>1403</v>
      </c>
      <c r="B37" t="str">
        <f>"Счета по кредитным карточкам клиентов"</f>
        <v>Счета по кредитным карточкам клиентов</v>
      </c>
      <c r="C37" t="str">
        <f>"2"</f>
        <v>2</v>
      </c>
      <c r="D37" t="str">
        <f>"9"</f>
        <v>9</v>
      </c>
      <c r="E37" t="str">
        <f t="shared" ref="E37:E43" si="2">"1"</f>
        <v>1</v>
      </c>
      <c r="F37" s="2">
        <v>4137502.84</v>
      </c>
    </row>
    <row r="38" spans="1:6" x14ac:dyDescent="0.25">
      <c r="A38">
        <v>1403</v>
      </c>
      <c r="B38" t="str">
        <f>"Счета по кредитным карточкам клиентов"</f>
        <v>Счета по кредитным карточкам клиентов</v>
      </c>
      <c r="C38" t="str">
        <f>"1"</f>
        <v>1</v>
      </c>
      <c r="D38" t="str">
        <f>"9"</f>
        <v>9</v>
      </c>
      <c r="E38" t="str">
        <f t="shared" si="2"/>
        <v>1</v>
      </c>
      <c r="F38" s="2">
        <v>2754170201.8699999</v>
      </c>
    </row>
    <row r="39" spans="1:6" x14ac:dyDescent="0.25">
      <c r="A39">
        <v>1411</v>
      </c>
      <c r="B39" t="str">
        <f>"Краткосрочные займы, предоставленные клиентам"</f>
        <v>Краткосрочные займы, предоставленные клиентам</v>
      </c>
      <c r="C39" t="str">
        <f>"1"</f>
        <v>1</v>
      </c>
      <c r="D39" t="str">
        <f>"7"</f>
        <v>7</v>
      </c>
      <c r="E39" t="str">
        <f t="shared" si="2"/>
        <v>1</v>
      </c>
      <c r="F39" s="2">
        <v>1610517603.4300001</v>
      </c>
    </row>
    <row r="40" spans="1:6" x14ac:dyDescent="0.25">
      <c r="A40">
        <v>1411</v>
      </c>
      <c r="B40" t="str">
        <f>"Краткосрочные займы, предоставленные клиентам"</f>
        <v>Краткосрочные займы, предоставленные клиентам</v>
      </c>
      <c r="C40" t="str">
        <f>"2"</f>
        <v>2</v>
      </c>
      <c r="D40" t="str">
        <f>"9"</f>
        <v>9</v>
      </c>
      <c r="E40" t="str">
        <f t="shared" si="2"/>
        <v>1</v>
      </c>
      <c r="F40" s="2">
        <v>252128</v>
      </c>
    </row>
    <row r="41" spans="1:6" x14ac:dyDescent="0.25">
      <c r="A41">
        <v>1411</v>
      </c>
      <c r="B41" t="str">
        <f>"Краткосрочные займы, предоставленные клиентам"</f>
        <v>Краткосрочные займы, предоставленные клиентам</v>
      </c>
      <c r="C41" t="str">
        <f>"1"</f>
        <v>1</v>
      </c>
      <c r="D41" t="str">
        <f>"9"</f>
        <v>9</v>
      </c>
      <c r="E41" t="str">
        <f t="shared" si="2"/>
        <v>1</v>
      </c>
      <c r="F41" s="2">
        <v>8274404101.6599998</v>
      </c>
    </row>
    <row r="42" spans="1:6" x14ac:dyDescent="0.25">
      <c r="A42">
        <v>1417</v>
      </c>
      <c r="B42" t="str">
        <f t="shared" ref="B42:B52" si="3">"Долгосрочные займы, предоставленные клиентам"</f>
        <v>Долгосрочные займы, предоставленные клиентам</v>
      </c>
      <c r="C42" t="str">
        <f>"1"</f>
        <v>1</v>
      </c>
      <c r="D42" t="str">
        <f>"9"</f>
        <v>9</v>
      </c>
      <c r="E42" t="str">
        <f t="shared" si="2"/>
        <v>1</v>
      </c>
      <c r="F42" s="2">
        <v>450564489164.83002</v>
      </c>
    </row>
    <row r="43" spans="1:6" x14ac:dyDescent="0.25">
      <c r="A43">
        <v>1417</v>
      </c>
      <c r="B43" t="str">
        <f t="shared" si="3"/>
        <v>Долгосрочные займы, предоставленные клиентам</v>
      </c>
      <c r="C43" t="str">
        <f>"2"</f>
        <v>2</v>
      </c>
      <c r="D43" t="str">
        <f>"9"</f>
        <v>9</v>
      </c>
      <c r="E43" t="str">
        <f t="shared" si="2"/>
        <v>1</v>
      </c>
      <c r="F43" s="2">
        <v>40677360.619999997</v>
      </c>
    </row>
    <row r="44" spans="1:6" x14ac:dyDescent="0.25">
      <c r="A44">
        <v>1417</v>
      </c>
      <c r="B44" t="str">
        <f t="shared" si="3"/>
        <v>Долгосрочные займы, предоставленные клиентам</v>
      </c>
      <c r="C44" t="str">
        <f>"1"</f>
        <v>1</v>
      </c>
      <c r="D44" t="str">
        <f>"5"</f>
        <v>5</v>
      </c>
      <c r="E44" t="str">
        <f>"2"</f>
        <v>2</v>
      </c>
      <c r="F44" s="2">
        <v>12436145584.860001</v>
      </c>
    </row>
    <row r="45" spans="1:6" x14ac:dyDescent="0.25">
      <c r="A45">
        <v>1417</v>
      </c>
      <c r="B45" t="str">
        <f t="shared" si="3"/>
        <v>Долгосрочные займы, предоставленные клиентам</v>
      </c>
      <c r="C45" t="str">
        <f>"2"</f>
        <v>2</v>
      </c>
      <c r="D45" t="str">
        <f>"7"</f>
        <v>7</v>
      </c>
      <c r="E45" t="str">
        <f>"3"</f>
        <v>3</v>
      </c>
      <c r="F45" s="2">
        <v>3844650217.9400001</v>
      </c>
    </row>
    <row r="46" spans="1:6" x14ac:dyDescent="0.25">
      <c r="A46">
        <v>1417</v>
      </c>
      <c r="B46" t="str">
        <f t="shared" si="3"/>
        <v>Долгосрочные займы, предоставленные клиентам</v>
      </c>
      <c r="C46" t="str">
        <f>"1"</f>
        <v>1</v>
      </c>
      <c r="D46" t="str">
        <f>"9"</f>
        <v>9</v>
      </c>
      <c r="E46" t="str">
        <f>"2"</f>
        <v>2</v>
      </c>
      <c r="F46" s="2">
        <v>920360567.71000004</v>
      </c>
    </row>
    <row r="47" spans="1:6" x14ac:dyDescent="0.25">
      <c r="A47">
        <v>1417</v>
      </c>
      <c r="B47" t="str">
        <f t="shared" si="3"/>
        <v>Долгосрочные займы, предоставленные клиентам</v>
      </c>
      <c r="C47" t="str">
        <f>"2"</f>
        <v>2</v>
      </c>
      <c r="D47" t="str">
        <f>"7"</f>
        <v>7</v>
      </c>
      <c r="E47" t="str">
        <f>"2"</f>
        <v>2</v>
      </c>
      <c r="F47" s="2">
        <v>7103755858.4200001</v>
      </c>
    </row>
    <row r="48" spans="1:6" x14ac:dyDescent="0.25">
      <c r="A48">
        <v>1417</v>
      </c>
      <c r="B48" t="str">
        <f t="shared" si="3"/>
        <v>Долгосрочные займы, предоставленные клиентам</v>
      </c>
      <c r="C48" t="str">
        <f>"1"</f>
        <v>1</v>
      </c>
      <c r="D48" t="str">
        <f>"6"</f>
        <v>6</v>
      </c>
      <c r="E48" t="str">
        <f>"1"</f>
        <v>1</v>
      </c>
      <c r="F48" s="2">
        <v>2593500000</v>
      </c>
    </row>
    <row r="49" spans="1:6" x14ac:dyDescent="0.25">
      <c r="A49">
        <v>1417</v>
      </c>
      <c r="B49" t="str">
        <f t="shared" si="3"/>
        <v>Долгосрочные займы, предоставленные клиентам</v>
      </c>
      <c r="C49" t="str">
        <f>"1"</f>
        <v>1</v>
      </c>
      <c r="D49" t="str">
        <f>"7"</f>
        <v>7</v>
      </c>
      <c r="E49" t="str">
        <f>"2"</f>
        <v>2</v>
      </c>
      <c r="F49" s="2">
        <v>21013398913.860001</v>
      </c>
    </row>
    <row r="50" spans="1:6" x14ac:dyDescent="0.25">
      <c r="A50">
        <v>1417</v>
      </c>
      <c r="B50" t="str">
        <f t="shared" si="3"/>
        <v>Долгосрочные займы, предоставленные клиентам</v>
      </c>
      <c r="C50" t="str">
        <f>"2"</f>
        <v>2</v>
      </c>
      <c r="D50" t="str">
        <f>"9"</f>
        <v>9</v>
      </c>
      <c r="E50" t="str">
        <f>"2"</f>
        <v>2</v>
      </c>
      <c r="F50" s="2">
        <v>359833318.94</v>
      </c>
    </row>
    <row r="51" spans="1:6" x14ac:dyDescent="0.25">
      <c r="A51">
        <v>1417</v>
      </c>
      <c r="B51" t="str">
        <f t="shared" si="3"/>
        <v>Долгосрочные займы, предоставленные клиентам</v>
      </c>
      <c r="C51" t="str">
        <f t="shared" ref="C51:C56" si="4">"1"</f>
        <v>1</v>
      </c>
      <c r="D51" t="str">
        <f>"5"</f>
        <v>5</v>
      </c>
      <c r="E51" t="str">
        <f t="shared" ref="E51:E57" si="5">"1"</f>
        <v>1</v>
      </c>
      <c r="F51" s="2">
        <v>4083449614.5300002</v>
      </c>
    </row>
    <row r="52" spans="1:6" x14ac:dyDescent="0.25">
      <c r="A52">
        <v>1417</v>
      </c>
      <c r="B52" t="str">
        <f t="shared" si="3"/>
        <v>Долгосрочные займы, предоставленные клиентам</v>
      </c>
      <c r="C52" t="str">
        <f t="shared" si="4"/>
        <v>1</v>
      </c>
      <c r="D52" t="str">
        <f>"7"</f>
        <v>7</v>
      </c>
      <c r="E52" t="str">
        <f t="shared" si="5"/>
        <v>1</v>
      </c>
      <c r="F52" s="2">
        <v>156493023845.98001</v>
      </c>
    </row>
    <row r="53" spans="1:6" x14ac:dyDescent="0.25">
      <c r="A53">
        <v>1421</v>
      </c>
      <c r="B53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C53" t="str">
        <f t="shared" si="4"/>
        <v>1</v>
      </c>
      <c r="D53" t="str">
        <f>"7"</f>
        <v>7</v>
      </c>
      <c r="E53" t="str">
        <f t="shared" si="5"/>
        <v>1</v>
      </c>
      <c r="F53" s="2">
        <v>9256258.9100000001</v>
      </c>
    </row>
    <row r="54" spans="1:6" x14ac:dyDescent="0.25">
      <c r="A54">
        <v>1424</v>
      </c>
      <c r="B54" t="str">
        <f t="shared" ref="B54:B60" si="6">"Просроченная задолженность клиентов по займам"</f>
        <v>Просроченная задолженность клиентов по займам</v>
      </c>
      <c r="C54" t="str">
        <f t="shared" si="4"/>
        <v>1</v>
      </c>
      <c r="D54" t="str">
        <f>"7"</f>
        <v>7</v>
      </c>
      <c r="E54" t="str">
        <f t="shared" si="5"/>
        <v>1</v>
      </c>
      <c r="F54" s="2">
        <v>18714718446.18</v>
      </c>
    </row>
    <row r="55" spans="1:6" x14ac:dyDescent="0.25">
      <c r="A55">
        <v>1424</v>
      </c>
      <c r="B55" t="str">
        <f t="shared" si="6"/>
        <v>Просроченная задолженность клиентов по займам</v>
      </c>
      <c r="C55" t="str">
        <f t="shared" si="4"/>
        <v>1</v>
      </c>
      <c r="D55" t="str">
        <f>"5"</f>
        <v>5</v>
      </c>
      <c r="E55" t="str">
        <f t="shared" si="5"/>
        <v>1</v>
      </c>
      <c r="F55" s="2">
        <v>3990675169.6399999</v>
      </c>
    </row>
    <row r="56" spans="1:6" x14ac:dyDescent="0.25">
      <c r="A56">
        <v>1424</v>
      </c>
      <c r="B56" t="str">
        <f t="shared" si="6"/>
        <v>Просроченная задолженность клиентов по займам</v>
      </c>
      <c r="C56" t="str">
        <f t="shared" si="4"/>
        <v>1</v>
      </c>
      <c r="D56" t="str">
        <f>"9"</f>
        <v>9</v>
      </c>
      <c r="E56" t="str">
        <f t="shared" si="5"/>
        <v>1</v>
      </c>
      <c r="F56" s="2">
        <v>24456322352.18</v>
      </c>
    </row>
    <row r="57" spans="1:6" x14ac:dyDescent="0.25">
      <c r="A57">
        <v>1424</v>
      </c>
      <c r="B57" t="str">
        <f t="shared" si="6"/>
        <v>Просроченная задолженность клиентов по займам</v>
      </c>
      <c r="C57" t="str">
        <f>"2"</f>
        <v>2</v>
      </c>
      <c r="D57" t="str">
        <f>"9"</f>
        <v>9</v>
      </c>
      <c r="E57" t="str">
        <f t="shared" si="5"/>
        <v>1</v>
      </c>
      <c r="F57" s="2">
        <v>12612424.539999999</v>
      </c>
    </row>
    <row r="58" spans="1:6" x14ac:dyDescent="0.25">
      <c r="A58">
        <v>1424</v>
      </c>
      <c r="B58" t="str">
        <f t="shared" si="6"/>
        <v>Просроченная задолженность клиентов по займам</v>
      </c>
      <c r="C58" t="str">
        <f>"1"</f>
        <v>1</v>
      </c>
      <c r="D58" t="str">
        <f>"7"</f>
        <v>7</v>
      </c>
      <c r="E58" t="str">
        <f>"2"</f>
        <v>2</v>
      </c>
      <c r="F58" s="2">
        <v>247695739.81</v>
      </c>
    </row>
    <row r="59" spans="1:6" x14ac:dyDescent="0.25">
      <c r="A59">
        <v>1424</v>
      </c>
      <c r="B59" t="str">
        <f t="shared" si="6"/>
        <v>Просроченная задолженность клиентов по займам</v>
      </c>
      <c r="C59" t="str">
        <f>"2"</f>
        <v>2</v>
      </c>
      <c r="D59" t="str">
        <f>"7"</f>
        <v>7</v>
      </c>
      <c r="E59" t="str">
        <f>"3"</f>
        <v>3</v>
      </c>
      <c r="F59" s="2">
        <v>553502464.41999996</v>
      </c>
    </row>
    <row r="60" spans="1:6" x14ac:dyDescent="0.25">
      <c r="A60">
        <v>1424</v>
      </c>
      <c r="B60" t="str">
        <f t="shared" si="6"/>
        <v>Просроченная задолженность клиентов по займам</v>
      </c>
      <c r="C60" t="str">
        <f>"1"</f>
        <v>1</v>
      </c>
      <c r="D60" t="str">
        <f>"9"</f>
        <v>9</v>
      </c>
      <c r="E60" t="str">
        <f>"2"</f>
        <v>2</v>
      </c>
      <c r="F60" s="2">
        <v>129774974.12</v>
      </c>
    </row>
    <row r="61" spans="1:6" x14ac:dyDescent="0.25">
      <c r="A61">
        <v>1428</v>
      </c>
      <c r="B61" t="str">
        <f t="shared" ref="B61:B71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61" t="str">
        <f>"1"</f>
        <v>1</v>
      </c>
      <c r="D61" t="str">
        <f>"5"</f>
        <v>5</v>
      </c>
      <c r="E61" t="str">
        <f>"2"</f>
        <v>2</v>
      </c>
      <c r="F61" s="2">
        <v>-1488882537.3399999</v>
      </c>
    </row>
    <row r="62" spans="1:6" x14ac:dyDescent="0.25">
      <c r="A62">
        <v>1428</v>
      </c>
      <c r="B62" t="str">
        <f t="shared" si="7"/>
        <v>Резервы (провизии) по займам и финансовому лизингу, предоставленным клиентам</v>
      </c>
      <c r="C62" t="str">
        <f>"1"</f>
        <v>1</v>
      </c>
      <c r="D62" t="str">
        <f>"9"</f>
        <v>9</v>
      </c>
      <c r="E62" t="str">
        <f>"2"</f>
        <v>2</v>
      </c>
      <c r="F62" s="2">
        <v>-528838504.20999998</v>
      </c>
    </row>
    <row r="63" spans="1:6" x14ac:dyDescent="0.25">
      <c r="A63">
        <v>1428</v>
      </c>
      <c r="B63" t="str">
        <f t="shared" si="7"/>
        <v>Резервы (провизии) по займам и финансовому лизингу, предоставленным клиентам</v>
      </c>
      <c r="C63" t="str">
        <f>"2"</f>
        <v>2</v>
      </c>
      <c r="D63" t="str">
        <f>"7"</f>
        <v>7</v>
      </c>
      <c r="E63" t="str">
        <f>"2"</f>
        <v>2</v>
      </c>
      <c r="F63" s="2">
        <v>-41187292.119999997</v>
      </c>
    </row>
    <row r="64" spans="1:6" x14ac:dyDescent="0.25">
      <c r="A64">
        <v>1428</v>
      </c>
      <c r="B64" t="str">
        <f t="shared" si="7"/>
        <v>Резервы (провизии) по займам и финансовому лизингу, предоставленным клиентам</v>
      </c>
      <c r="C64" t="str">
        <f>"1"</f>
        <v>1</v>
      </c>
      <c r="D64" t="str">
        <f>"6"</f>
        <v>6</v>
      </c>
      <c r="E64" t="str">
        <f>"1"</f>
        <v>1</v>
      </c>
      <c r="F64" s="2">
        <v>-16876372.359999999</v>
      </c>
    </row>
    <row r="65" spans="1:6" x14ac:dyDescent="0.25">
      <c r="A65">
        <v>1428</v>
      </c>
      <c r="B65" t="str">
        <f t="shared" si="7"/>
        <v>Резервы (провизии) по займам и финансовому лизингу, предоставленным клиентам</v>
      </c>
      <c r="C65" t="str">
        <f>"2"</f>
        <v>2</v>
      </c>
      <c r="D65" t="str">
        <f>"9"</f>
        <v>9</v>
      </c>
      <c r="E65" t="str">
        <f>"1"</f>
        <v>1</v>
      </c>
      <c r="F65" s="2">
        <v>-53448421.780000001</v>
      </c>
    </row>
    <row r="66" spans="1:6" x14ac:dyDescent="0.25">
      <c r="A66">
        <v>1428</v>
      </c>
      <c r="B66" t="str">
        <f t="shared" si="7"/>
        <v>Резервы (провизии) по займам и финансовому лизингу, предоставленным клиентам</v>
      </c>
      <c r="C66" t="str">
        <f>"2"</f>
        <v>2</v>
      </c>
      <c r="D66" t="str">
        <f>"9"</f>
        <v>9</v>
      </c>
      <c r="E66" t="str">
        <f>"2"</f>
        <v>2</v>
      </c>
      <c r="F66" s="2">
        <v>-56721.25</v>
      </c>
    </row>
    <row r="67" spans="1:6" x14ac:dyDescent="0.25">
      <c r="A67">
        <v>1428</v>
      </c>
      <c r="B67" t="str">
        <f t="shared" si="7"/>
        <v>Резервы (провизии) по займам и финансовому лизингу, предоставленным клиентам</v>
      </c>
      <c r="C67" t="str">
        <f>"1"</f>
        <v>1</v>
      </c>
      <c r="D67" t="str">
        <f>"7"</f>
        <v>7</v>
      </c>
      <c r="E67" t="str">
        <f>"2"</f>
        <v>2</v>
      </c>
      <c r="F67" s="2">
        <v>-17561236793.18</v>
      </c>
    </row>
    <row r="68" spans="1:6" x14ac:dyDescent="0.25">
      <c r="A68">
        <v>1428</v>
      </c>
      <c r="B68" t="str">
        <f t="shared" si="7"/>
        <v>Резервы (провизии) по займам и финансовому лизингу, предоставленным клиентам</v>
      </c>
      <c r="C68" t="str">
        <f>"2"</f>
        <v>2</v>
      </c>
      <c r="D68" t="str">
        <f>"7"</f>
        <v>7</v>
      </c>
      <c r="E68" t="str">
        <f>"3"</f>
        <v>3</v>
      </c>
      <c r="F68" s="2">
        <v>-123601467.11</v>
      </c>
    </row>
    <row r="69" spans="1:6" x14ac:dyDescent="0.25">
      <c r="A69">
        <v>1428</v>
      </c>
      <c r="B69" t="str">
        <f t="shared" si="7"/>
        <v>Резервы (провизии) по займам и финансовому лизингу, предоставленным клиентам</v>
      </c>
      <c r="C69" t="str">
        <f>"1"</f>
        <v>1</v>
      </c>
      <c r="D69" t="str">
        <f>"7"</f>
        <v>7</v>
      </c>
      <c r="E69" t="str">
        <f>"1"</f>
        <v>1</v>
      </c>
      <c r="F69" s="2">
        <v>-49391658052.160004</v>
      </c>
    </row>
    <row r="70" spans="1:6" x14ac:dyDescent="0.25">
      <c r="A70">
        <v>1428</v>
      </c>
      <c r="B70" t="str">
        <f t="shared" si="7"/>
        <v>Резервы (провизии) по займам и финансовому лизингу, предоставленным клиентам</v>
      </c>
      <c r="C70" t="str">
        <f>"1"</f>
        <v>1</v>
      </c>
      <c r="D70" t="str">
        <f>"9"</f>
        <v>9</v>
      </c>
      <c r="E70" t="str">
        <f>"1"</f>
        <v>1</v>
      </c>
      <c r="F70" s="2">
        <v>-74283740664.690002</v>
      </c>
    </row>
    <row r="71" spans="1:6" x14ac:dyDescent="0.25">
      <c r="A71">
        <v>1428</v>
      </c>
      <c r="B71" t="str">
        <f t="shared" si="7"/>
        <v>Резервы (провизии) по займам и финансовому лизингу, предоставленным клиентам</v>
      </c>
      <c r="C71" t="str">
        <f>"1"</f>
        <v>1</v>
      </c>
      <c r="D71" t="str">
        <f>"5"</f>
        <v>5</v>
      </c>
      <c r="E71" t="str">
        <f>"1"</f>
        <v>1</v>
      </c>
      <c r="F71" s="2">
        <v>-205837137.61000001</v>
      </c>
    </row>
    <row r="72" spans="1:6" x14ac:dyDescent="0.25">
      <c r="A72">
        <v>1434</v>
      </c>
      <c r="B72" t="str">
        <f t="shared" ref="B72:B81" si="8">"Дисконт по займам, предоставленным клиентам"</f>
        <v>Дисконт по займам, предоставленным клиентам</v>
      </c>
      <c r="C72" t="str">
        <f>"2"</f>
        <v>2</v>
      </c>
      <c r="D72" t="str">
        <f>"9"</f>
        <v>9</v>
      </c>
      <c r="E72" t="str">
        <f>"2"</f>
        <v>2</v>
      </c>
      <c r="F72" s="2">
        <v>-40831.01</v>
      </c>
    </row>
    <row r="73" spans="1:6" x14ac:dyDescent="0.25">
      <c r="A73">
        <v>1434</v>
      </c>
      <c r="B73" t="str">
        <f t="shared" si="8"/>
        <v>Дисконт по займам, предоставленным клиентам</v>
      </c>
      <c r="C73" t="str">
        <f>"2"</f>
        <v>2</v>
      </c>
      <c r="D73" t="str">
        <f>"7"</f>
        <v>7</v>
      </c>
      <c r="E73" t="str">
        <f>"3"</f>
        <v>3</v>
      </c>
      <c r="F73" s="2">
        <v>-42015278.469999999</v>
      </c>
    </row>
    <row r="74" spans="1:6" x14ac:dyDescent="0.25">
      <c r="A74">
        <v>1434</v>
      </c>
      <c r="B74" t="str">
        <f t="shared" si="8"/>
        <v>Дисконт по займам, предоставленным клиентам</v>
      </c>
      <c r="C74" t="str">
        <f>"1"</f>
        <v>1</v>
      </c>
      <c r="D74" t="str">
        <f>"5"</f>
        <v>5</v>
      </c>
      <c r="E74" t="str">
        <f>"1"</f>
        <v>1</v>
      </c>
      <c r="F74" s="2">
        <v>-4315113428.1400003</v>
      </c>
    </row>
    <row r="75" spans="1:6" x14ac:dyDescent="0.25">
      <c r="A75">
        <v>1434</v>
      </c>
      <c r="B75" t="str">
        <f t="shared" si="8"/>
        <v>Дисконт по займам, предоставленным клиентам</v>
      </c>
      <c r="C75" t="str">
        <f>"1"</f>
        <v>1</v>
      </c>
      <c r="D75" t="str">
        <f>"7"</f>
        <v>7</v>
      </c>
      <c r="E75" t="str">
        <f>"1"</f>
        <v>1</v>
      </c>
      <c r="F75" s="2">
        <v>-8237946976.5200005</v>
      </c>
    </row>
    <row r="76" spans="1:6" x14ac:dyDescent="0.25">
      <c r="A76">
        <v>1434</v>
      </c>
      <c r="B76" t="str">
        <f t="shared" si="8"/>
        <v>Дисконт по займам, предоставленным клиентам</v>
      </c>
      <c r="C76" t="str">
        <f>"1"</f>
        <v>1</v>
      </c>
      <c r="D76" t="str">
        <f>"9"</f>
        <v>9</v>
      </c>
      <c r="E76" t="str">
        <f>"2"</f>
        <v>2</v>
      </c>
      <c r="F76" s="2">
        <v>-8285602.9500000002</v>
      </c>
    </row>
    <row r="77" spans="1:6" x14ac:dyDescent="0.25">
      <c r="A77">
        <v>1434</v>
      </c>
      <c r="B77" t="str">
        <f t="shared" si="8"/>
        <v>Дисконт по займам, предоставленным клиентам</v>
      </c>
      <c r="C77" t="str">
        <f>"2"</f>
        <v>2</v>
      </c>
      <c r="D77" t="str">
        <f>"9"</f>
        <v>9</v>
      </c>
      <c r="E77" t="str">
        <f>"1"</f>
        <v>1</v>
      </c>
      <c r="F77" s="2">
        <v>-20578978.309999999</v>
      </c>
    </row>
    <row r="78" spans="1:6" x14ac:dyDescent="0.25">
      <c r="A78">
        <v>1434</v>
      </c>
      <c r="B78" t="str">
        <f t="shared" si="8"/>
        <v>Дисконт по займам, предоставленным клиентам</v>
      </c>
      <c r="C78" t="str">
        <f>"1"</f>
        <v>1</v>
      </c>
      <c r="D78" t="str">
        <f>"9"</f>
        <v>9</v>
      </c>
      <c r="E78" t="str">
        <f>"1"</f>
        <v>1</v>
      </c>
      <c r="F78" s="2">
        <v>-7427695160.7299995</v>
      </c>
    </row>
    <row r="79" spans="1:6" x14ac:dyDescent="0.25">
      <c r="A79">
        <v>1434</v>
      </c>
      <c r="B79" t="str">
        <f t="shared" si="8"/>
        <v>Дисконт по займам, предоставленным клиентам</v>
      </c>
      <c r="C79" t="str">
        <f>"1"</f>
        <v>1</v>
      </c>
      <c r="D79" t="str">
        <f>"7"</f>
        <v>7</v>
      </c>
      <c r="E79" t="str">
        <f>"2"</f>
        <v>2</v>
      </c>
      <c r="F79" s="2">
        <v>-776837905.62</v>
      </c>
    </row>
    <row r="80" spans="1:6" x14ac:dyDescent="0.25">
      <c r="A80">
        <v>1434</v>
      </c>
      <c r="B80" t="str">
        <f t="shared" si="8"/>
        <v>Дисконт по займам, предоставленным клиентам</v>
      </c>
      <c r="C80" t="str">
        <f>"2"</f>
        <v>2</v>
      </c>
      <c r="D80" t="str">
        <f>"7"</f>
        <v>7</v>
      </c>
      <c r="E80" t="str">
        <f>"2"</f>
        <v>2</v>
      </c>
      <c r="F80" s="2">
        <v>-27020060.969999999</v>
      </c>
    </row>
    <row r="81" spans="1:6" x14ac:dyDescent="0.25">
      <c r="A81">
        <v>1434</v>
      </c>
      <c r="B81" t="str">
        <f t="shared" si="8"/>
        <v>Дисконт по займам, предоставленным клиентам</v>
      </c>
      <c r="C81" t="str">
        <f>"1"</f>
        <v>1</v>
      </c>
      <c r="D81" t="str">
        <f>"5"</f>
        <v>5</v>
      </c>
      <c r="E81" t="str">
        <f>"2"</f>
        <v>2</v>
      </c>
      <c r="F81" s="2">
        <v>-651941934.11000001</v>
      </c>
    </row>
    <row r="82" spans="1:6" x14ac:dyDescent="0.25">
      <c r="A82">
        <v>1435</v>
      </c>
      <c r="B82" t="str">
        <f>"Премия по займам, предоставленным клиентам"</f>
        <v>Премия по займам, предоставленным клиентам</v>
      </c>
      <c r="C82" t="str">
        <f>"1"</f>
        <v>1</v>
      </c>
      <c r="D82" t="str">
        <f>"7"</f>
        <v>7</v>
      </c>
      <c r="E82" t="str">
        <f>"1"</f>
        <v>1</v>
      </c>
      <c r="F82" s="2">
        <v>9908251.6300000008</v>
      </c>
    </row>
    <row r="83" spans="1:6" x14ac:dyDescent="0.25">
      <c r="A83">
        <v>1435</v>
      </c>
      <c r="B83" t="str">
        <f>"Премия по займам, предоставленным клиентам"</f>
        <v>Премия по займам, предоставленным клиентам</v>
      </c>
      <c r="C83" t="str">
        <f>"1"</f>
        <v>1</v>
      </c>
      <c r="D83" t="str">
        <f>"9"</f>
        <v>9</v>
      </c>
      <c r="E83" t="str">
        <f>"1"</f>
        <v>1</v>
      </c>
      <c r="F83" s="2">
        <v>1075725869.03</v>
      </c>
    </row>
    <row r="84" spans="1:6" x14ac:dyDescent="0.25">
      <c r="A84">
        <v>1435</v>
      </c>
      <c r="B84" t="str">
        <f>"Премия по займам, предоставленным клиентам"</f>
        <v>Премия по займам, предоставленным клиентам</v>
      </c>
      <c r="C84" t="str">
        <f>"2"</f>
        <v>2</v>
      </c>
      <c r="D84" t="str">
        <f>"9"</f>
        <v>9</v>
      </c>
      <c r="E84" t="str">
        <f>"2"</f>
        <v>2</v>
      </c>
      <c r="F84" s="2">
        <v>12647.42</v>
      </c>
    </row>
    <row r="85" spans="1:6" x14ac:dyDescent="0.25">
      <c r="A85">
        <v>1435</v>
      </c>
      <c r="B85" t="str">
        <f>"Премия по займам, предоставленным клиентам"</f>
        <v>Премия по займам, предоставленным клиентам</v>
      </c>
      <c r="C85" t="str">
        <f>"1"</f>
        <v>1</v>
      </c>
      <c r="D85" t="str">
        <f>"9"</f>
        <v>9</v>
      </c>
      <c r="E85" t="str">
        <f>"2"</f>
        <v>2</v>
      </c>
      <c r="F85" s="2">
        <v>27946.09</v>
      </c>
    </row>
    <row r="86" spans="1:6" x14ac:dyDescent="0.25">
      <c r="A86">
        <v>1435</v>
      </c>
      <c r="B86" t="str">
        <f>"Премия по займам, предоставленным клиентам"</f>
        <v>Премия по займам, предоставленным клиентам</v>
      </c>
      <c r="C86" t="str">
        <f>"2"</f>
        <v>2</v>
      </c>
      <c r="D86" t="str">
        <f>"9"</f>
        <v>9</v>
      </c>
      <c r="E86" t="str">
        <f>"1"</f>
        <v>1</v>
      </c>
      <c r="F86" s="2">
        <v>27274.29</v>
      </c>
    </row>
    <row r="87" spans="1:6" x14ac:dyDescent="0.25">
      <c r="A87">
        <v>1452</v>
      </c>
      <c r="B87" t="str">
        <f t="shared" ref="B87:B95" si="9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C87" t="str">
        <f>"2"</f>
        <v>2</v>
      </c>
      <c r="D87" t="str">
        <f>"3"</f>
        <v>3</v>
      </c>
      <c r="E87" t="str">
        <f>"2"</f>
        <v>2</v>
      </c>
      <c r="F87" s="2">
        <v>2633160000</v>
      </c>
    </row>
    <row r="88" spans="1:6" x14ac:dyDescent="0.25">
      <c r="A88">
        <v>1452</v>
      </c>
      <c r="B88" t="str">
        <f t="shared" si="9"/>
        <v>Ценные бумаги, учитываемые по справедливой стоимости через прочий совокупный доход</v>
      </c>
      <c r="C88" t="str">
        <f>"1"</f>
        <v>1</v>
      </c>
      <c r="D88" t="str">
        <f>"5"</f>
        <v>5</v>
      </c>
      <c r="E88" t="str">
        <f>"1"</f>
        <v>1</v>
      </c>
      <c r="F88" s="2">
        <v>1600000000</v>
      </c>
    </row>
    <row r="89" spans="1:6" x14ac:dyDescent="0.25">
      <c r="A89">
        <v>1452</v>
      </c>
      <c r="B89" t="str">
        <f t="shared" si="9"/>
        <v>Ценные бумаги, учитываемые по справедливой стоимости через прочий совокупный доход</v>
      </c>
      <c r="C89" t="str">
        <f>"2"</f>
        <v>2</v>
      </c>
      <c r="D89" t="str">
        <f>"1"</f>
        <v>1</v>
      </c>
      <c r="E89" t="str">
        <f>"2"</f>
        <v>2</v>
      </c>
      <c r="F89" s="2">
        <v>863600000</v>
      </c>
    </row>
    <row r="90" spans="1:6" x14ac:dyDescent="0.25">
      <c r="A90">
        <v>1452</v>
      </c>
      <c r="B90" t="str">
        <f t="shared" si="9"/>
        <v>Ценные бумаги, учитываемые по справедливой стоимости через прочий совокупный доход</v>
      </c>
      <c r="C90" t="str">
        <f>"1"</f>
        <v>1</v>
      </c>
      <c r="D90" t="str">
        <f>"1"</f>
        <v>1</v>
      </c>
      <c r="E90" t="str">
        <f>"2"</f>
        <v>2</v>
      </c>
      <c r="F90" s="2">
        <v>10547134000</v>
      </c>
    </row>
    <row r="91" spans="1:6" x14ac:dyDescent="0.25">
      <c r="A91">
        <v>1452</v>
      </c>
      <c r="B91" t="str">
        <f t="shared" si="9"/>
        <v>Ценные бумаги, учитываемые по справедливой стоимости через прочий совокупный доход</v>
      </c>
      <c r="C91" t="str">
        <f>"1"</f>
        <v>1</v>
      </c>
      <c r="D91" t="str">
        <f>"6"</f>
        <v>6</v>
      </c>
      <c r="E91" t="str">
        <f>"2"</f>
        <v>2</v>
      </c>
      <c r="F91" s="2">
        <v>11658600000</v>
      </c>
    </row>
    <row r="92" spans="1:6" x14ac:dyDescent="0.25">
      <c r="A92">
        <v>1452</v>
      </c>
      <c r="B92" t="str">
        <f t="shared" si="9"/>
        <v>Ценные бумаги, учитываемые по справедливой стоимости через прочий совокупный доход</v>
      </c>
      <c r="C92" t="str">
        <f>"2"</f>
        <v>2</v>
      </c>
      <c r="D92" t="str">
        <f>"7"</f>
        <v>7</v>
      </c>
      <c r="E92" t="str">
        <f>"2"</f>
        <v>2</v>
      </c>
      <c r="F92" s="2">
        <v>1295400000</v>
      </c>
    </row>
    <row r="93" spans="1:6" x14ac:dyDescent="0.25">
      <c r="A93">
        <v>1452</v>
      </c>
      <c r="B93" t="str">
        <f t="shared" si="9"/>
        <v>Ценные бумаги, учитываемые по справедливой стоимости через прочий совокупный доход</v>
      </c>
      <c r="C93" t="str">
        <f>"1"</f>
        <v>1</v>
      </c>
      <c r="D93" t="str">
        <f>"1"</f>
        <v>1</v>
      </c>
      <c r="E93" t="str">
        <f>"1"</f>
        <v>1</v>
      </c>
      <c r="F93" s="2">
        <v>79056361300</v>
      </c>
    </row>
    <row r="94" spans="1:6" x14ac:dyDescent="0.25">
      <c r="A94">
        <v>1452</v>
      </c>
      <c r="B94" t="str">
        <f t="shared" si="9"/>
        <v>Ценные бумаги, учитываемые по справедливой стоимости через прочий совокупный доход</v>
      </c>
      <c r="C94" t="str">
        <f>"2"</f>
        <v>2</v>
      </c>
      <c r="D94" t="str">
        <f>"4"</f>
        <v>4</v>
      </c>
      <c r="E94" t="str">
        <f>"1"</f>
        <v>1</v>
      </c>
      <c r="F94" s="2">
        <v>2781464658.25</v>
      </c>
    </row>
    <row r="95" spans="1:6" x14ac:dyDescent="0.25">
      <c r="A95">
        <v>1452</v>
      </c>
      <c r="B95" t="str">
        <f t="shared" si="9"/>
        <v>Ценные бумаги, учитываемые по справедливой стоимости через прочий совокупный доход</v>
      </c>
      <c r="C95" t="str">
        <f>"2"</f>
        <v>2</v>
      </c>
      <c r="D95" t="str">
        <f>"5"</f>
        <v>5</v>
      </c>
      <c r="E95" t="str">
        <f>"2"</f>
        <v>2</v>
      </c>
      <c r="F95" s="2">
        <v>9447784000</v>
      </c>
    </row>
    <row r="96" spans="1:6" x14ac:dyDescent="0.25">
      <c r="A96">
        <v>1453</v>
      </c>
      <c r="B96" t="str">
        <f t="shared" ref="B96:B101" si="10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C96" t="str">
        <f>"1"</f>
        <v>1</v>
      </c>
      <c r="D96" t="str">
        <f>"1"</f>
        <v>1</v>
      </c>
      <c r="E96" t="str">
        <f>"2"</f>
        <v>2</v>
      </c>
      <c r="F96" s="2">
        <v>-6751247.8300000001</v>
      </c>
    </row>
    <row r="97" spans="1:6" x14ac:dyDescent="0.25">
      <c r="A97">
        <v>1453</v>
      </c>
      <c r="B97" t="str">
        <f t="shared" si="10"/>
        <v>Дисконт по приобретенным ценным бумагам, учитываемым по справедливой стоимости через прочий совокупный доход</v>
      </c>
      <c r="C97" t="str">
        <f>"1"</f>
        <v>1</v>
      </c>
      <c r="D97" t="str">
        <f>"5"</f>
        <v>5</v>
      </c>
      <c r="E97" t="str">
        <f>"1"</f>
        <v>1</v>
      </c>
      <c r="F97" s="2">
        <v>-26688118.739999998</v>
      </c>
    </row>
    <row r="98" spans="1:6" x14ac:dyDescent="0.25">
      <c r="A98">
        <v>1453</v>
      </c>
      <c r="B98" t="str">
        <f t="shared" si="10"/>
        <v>Дисконт по приобретенным ценным бумагам, учитываемым по справедливой стоимости через прочий совокупный доход</v>
      </c>
      <c r="C98" t="str">
        <f>"2"</f>
        <v>2</v>
      </c>
      <c r="D98" t="str">
        <f>"1"</f>
        <v>1</v>
      </c>
      <c r="E98" t="str">
        <f>"2"</f>
        <v>2</v>
      </c>
      <c r="F98" s="2">
        <v>-9797835.6199999992</v>
      </c>
    </row>
    <row r="99" spans="1:6" x14ac:dyDescent="0.25">
      <c r="A99">
        <v>1453</v>
      </c>
      <c r="B99" t="str">
        <f t="shared" si="10"/>
        <v>Дисконт по приобретенным ценным бумагам, учитываемым по справедливой стоимости через прочий совокупный доход</v>
      </c>
      <c r="C99" t="str">
        <f>"1"</f>
        <v>1</v>
      </c>
      <c r="D99" t="str">
        <f>"1"</f>
        <v>1</v>
      </c>
      <c r="E99" t="str">
        <f>"1"</f>
        <v>1</v>
      </c>
      <c r="F99" s="2">
        <v>-2305219190.8699999</v>
      </c>
    </row>
    <row r="100" spans="1:6" x14ac:dyDescent="0.25">
      <c r="A100">
        <v>1453</v>
      </c>
      <c r="B100" t="str">
        <f t="shared" si="10"/>
        <v>Дисконт по приобретенным ценным бумагам, учитываемым по справедливой стоимости через прочий совокупный доход</v>
      </c>
      <c r="C100" t="str">
        <f>"2"</f>
        <v>2</v>
      </c>
      <c r="D100" t="str">
        <f>"3"</f>
        <v>3</v>
      </c>
      <c r="E100" t="str">
        <f>"2"</f>
        <v>2</v>
      </c>
      <c r="F100" s="2">
        <v>-9760787.7300000004</v>
      </c>
    </row>
    <row r="101" spans="1:6" x14ac:dyDescent="0.25">
      <c r="A101">
        <v>1453</v>
      </c>
      <c r="B101" t="str">
        <f t="shared" si="10"/>
        <v>Дисконт по приобретенным ценным бумагам, учитываемым по справедливой стоимости через прочий совокупный доход</v>
      </c>
      <c r="C101" t="str">
        <f>"1"</f>
        <v>1</v>
      </c>
      <c r="D101" t="str">
        <f>"6"</f>
        <v>6</v>
      </c>
      <c r="E101" t="str">
        <f>"2"</f>
        <v>2</v>
      </c>
      <c r="F101" s="2">
        <v>-131002955.67</v>
      </c>
    </row>
    <row r="102" spans="1:6" x14ac:dyDescent="0.25">
      <c r="A102">
        <v>1454</v>
      </c>
      <c r="B10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2" t="str">
        <f>"2"</f>
        <v>2</v>
      </c>
      <c r="D102" t="str">
        <f>"3"</f>
        <v>3</v>
      </c>
      <c r="E102" t="str">
        <f>"2"</f>
        <v>2</v>
      </c>
      <c r="F102" s="2">
        <v>34931195.060000002</v>
      </c>
    </row>
    <row r="103" spans="1:6" x14ac:dyDescent="0.25">
      <c r="A103">
        <v>1454</v>
      </c>
      <c r="B10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3" t="str">
        <f>"2"</f>
        <v>2</v>
      </c>
      <c r="D103" t="str">
        <f>"5"</f>
        <v>5</v>
      </c>
      <c r="E103" t="str">
        <f>"2"</f>
        <v>2</v>
      </c>
      <c r="F103" s="2">
        <v>1067026239.33</v>
      </c>
    </row>
    <row r="104" spans="1:6" x14ac:dyDescent="0.25">
      <c r="A104">
        <v>1454</v>
      </c>
      <c r="B10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4" t="str">
        <f>"1"</f>
        <v>1</v>
      </c>
      <c r="D104" t="str">
        <f>"1"</f>
        <v>1</v>
      </c>
      <c r="E104" t="str">
        <f>"2"</f>
        <v>2</v>
      </c>
      <c r="F104" s="2">
        <v>938569167.82000005</v>
      </c>
    </row>
    <row r="105" spans="1:6" x14ac:dyDescent="0.25">
      <c r="A105">
        <v>1454</v>
      </c>
      <c r="B10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5" t="str">
        <f>"1"</f>
        <v>1</v>
      </c>
      <c r="D105" t="str">
        <f>"1"</f>
        <v>1</v>
      </c>
      <c r="E105" t="str">
        <f>"1"</f>
        <v>1</v>
      </c>
      <c r="F105" s="2">
        <v>10042910.16</v>
      </c>
    </row>
    <row r="106" spans="1:6" x14ac:dyDescent="0.25">
      <c r="A106">
        <v>1454</v>
      </c>
      <c r="B10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C106" t="str">
        <f>"2"</f>
        <v>2</v>
      </c>
      <c r="D106" t="str">
        <f>"7"</f>
        <v>7</v>
      </c>
      <c r="E106" t="str">
        <f>"2"</f>
        <v>2</v>
      </c>
      <c r="F106" s="2">
        <v>66822436.079999998</v>
      </c>
    </row>
    <row r="107" spans="1:6" x14ac:dyDescent="0.25">
      <c r="A107">
        <v>1456</v>
      </c>
      <c r="B107" t="str">
        <f t="shared" ref="B107:B115" si="11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07" t="str">
        <f>"1"</f>
        <v>1</v>
      </c>
      <c r="D107" t="str">
        <f>"5"</f>
        <v>5</v>
      </c>
      <c r="E107" t="str">
        <f>"1"</f>
        <v>1</v>
      </c>
      <c r="F107" s="2">
        <v>163220805.94</v>
      </c>
    </row>
    <row r="108" spans="1:6" x14ac:dyDescent="0.25">
      <c r="A108">
        <v>1456</v>
      </c>
      <c r="B108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08" t="str">
        <f>"2"</f>
        <v>2</v>
      </c>
      <c r="D108" t="str">
        <f>"3"</f>
        <v>3</v>
      </c>
      <c r="E108" t="str">
        <f>"2"</f>
        <v>2</v>
      </c>
      <c r="F108" s="2">
        <v>113400786.39</v>
      </c>
    </row>
    <row r="109" spans="1:6" x14ac:dyDescent="0.25">
      <c r="A109">
        <v>1456</v>
      </c>
      <c r="B109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09" t="str">
        <f>"2"</f>
        <v>2</v>
      </c>
      <c r="D109" t="str">
        <f>"5"</f>
        <v>5</v>
      </c>
      <c r="E109" t="str">
        <f>"2"</f>
        <v>2</v>
      </c>
      <c r="F109" s="2">
        <v>389867910.63</v>
      </c>
    </row>
    <row r="110" spans="1:6" x14ac:dyDescent="0.25">
      <c r="A110">
        <v>1456</v>
      </c>
      <c r="B110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0" t="str">
        <f>"2"</f>
        <v>2</v>
      </c>
      <c r="D110" t="str">
        <f>"7"</f>
        <v>7</v>
      </c>
      <c r="E110" t="str">
        <f>"2"</f>
        <v>2</v>
      </c>
      <c r="F110" s="2">
        <v>68898698.879999995</v>
      </c>
    </row>
    <row r="111" spans="1:6" x14ac:dyDescent="0.25">
      <c r="A111">
        <v>1456</v>
      </c>
      <c r="B111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1" t="str">
        <f>"1"</f>
        <v>1</v>
      </c>
      <c r="D111" t="str">
        <f>"1"</f>
        <v>1</v>
      </c>
      <c r="E111" t="str">
        <f>"1"</f>
        <v>1</v>
      </c>
      <c r="F111" s="2">
        <v>4944138060.04</v>
      </c>
    </row>
    <row r="112" spans="1:6" x14ac:dyDescent="0.25">
      <c r="A112">
        <v>1456</v>
      </c>
      <c r="B112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2" t="str">
        <f>"2"</f>
        <v>2</v>
      </c>
      <c r="D112" t="str">
        <f>"4"</f>
        <v>4</v>
      </c>
      <c r="E112" t="str">
        <f>"1"</f>
        <v>1</v>
      </c>
      <c r="F112" s="2">
        <v>415046338.75</v>
      </c>
    </row>
    <row r="113" spans="1:6" x14ac:dyDescent="0.25">
      <c r="A113">
        <v>1456</v>
      </c>
      <c r="B113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3" t="str">
        <f>"1"</f>
        <v>1</v>
      </c>
      <c r="D113" t="str">
        <f>"1"</f>
        <v>1</v>
      </c>
      <c r="E113" t="str">
        <f>"2"</f>
        <v>2</v>
      </c>
      <c r="F113" s="2">
        <v>2963986997.98</v>
      </c>
    </row>
    <row r="114" spans="1:6" x14ac:dyDescent="0.25">
      <c r="A114">
        <v>1456</v>
      </c>
      <c r="B114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4" t="str">
        <f>"1"</f>
        <v>1</v>
      </c>
      <c r="D114" t="str">
        <f>"6"</f>
        <v>6</v>
      </c>
      <c r="E114" t="str">
        <f>"2"</f>
        <v>2</v>
      </c>
      <c r="F114" s="2">
        <v>100085997.95</v>
      </c>
    </row>
    <row r="115" spans="1:6" x14ac:dyDescent="0.25">
      <c r="A115">
        <v>1456</v>
      </c>
      <c r="B115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C115" t="str">
        <f>"2"</f>
        <v>2</v>
      </c>
      <c r="D115" t="str">
        <f>"1"</f>
        <v>1</v>
      </c>
      <c r="E115" t="str">
        <f>"2"</f>
        <v>2</v>
      </c>
      <c r="F115" s="2">
        <v>10375419.939999999</v>
      </c>
    </row>
    <row r="116" spans="1:6" x14ac:dyDescent="0.25">
      <c r="A116">
        <v>1457</v>
      </c>
      <c r="B116" t="str">
        <f t="shared" ref="B116:B124" si="12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6" t="str">
        <f>"1"</f>
        <v>1</v>
      </c>
      <c r="D116" t="str">
        <f>"1"</f>
        <v>1</v>
      </c>
      <c r="E116" t="str">
        <f>"2"</f>
        <v>2</v>
      </c>
      <c r="F116" s="2">
        <v>-2572125145.1399999</v>
      </c>
    </row>
    <row r="117" spans="1:6" x14ac:dyDescent="0.25">
      <c r="A117">
        <v>1457</v>
      </c>
      <c r="B117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7" t="str">
        <f>"1"</f>
        <v>1</v>
      </c>
      <c r="D117" t="str">
        <f>"1"</f>
        <v>1</v>
      </c>
      <c r="E117" t="str">
        <f>"1"</f>
        <v>1</v>
      </c>
      <c r="F117" s="2">
        <v>-5469864784.0299997</v>
      </c>
    </row>
    <row r="118" spans="1:6" x14ac:dyDescent="0.25">
      <c r="A118">
        <v>1457</v>
      </c>
      <c r="B118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8" t="str">
        <f>"2"</f>
        <v>2</v>
      </c>
      <c r="D118" t="str">
        <f>"3"</f>
        <v>3</v>
      </c>
      <c r="E118" t="str">
        <f>"2"</f>
        <v>2</v>
      </c>
      <c r="F118" s="2">
        <v>-115621487.72</v>
      </c>
    </row>
    <row r="119" spans="1:6" x14ac:dyDescent="0.25">
      <c r="A119">
        <v>1457</v>
      </c>
      <c r="B119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19" t="str">
        <f>"2"</f>
        <v>2</v>
      </c>
      <c r="D119" t="str">
        <f>"5"</f>
        <v>5</v>
      </c>
      <c r="E119" t="str">
        <f>"2"</f>
        <v>2</v>
      </c>
      <c r="F119" s="2">
        <v>-559487586.63999999</v>
      </c>
    </row>
    <row r="120" spans="1:6" x14ac:dyDescent="0.25">
      <c r="A120">
        <v>1457</v>
      </c>
      <c r="B120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0" t="str">
        <f>"1"</f>
        <v>1</v>
      </c>
      <c r="D120" t="str">
        <f>"5"</f>
        <v>5</v>
      </c>
      <c r="E120" t="str">
        <f>"1"</f>
        <v>1</v>
      </c>
      <c r="F120" s="2">
        <v>-152663253.47999999</v>
      </c>
    </row>
    <row r="121" spans="1:6" x14ac:dyDescent="0.25">
      <c r="A121">
        <v>1457</v>
      </c>
      <c r="B121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1" t="str">
        <f>"1"</f>
        <v>1</v>
      </c>
      <c r="D121" t="str">
        <f>"6"</f>
        <v>6</v>
      </c>
      <c r="E121" t="str">
        <f>"2"</f>
        <v>2</v>
      </c>
      <c r="F121" s="2">
        <v>-142796190.91</v>
      </c>
    </row>
    <row r="122" spans="1:6" x14ac:dyDescent="0.25">
      <c r="A122">
        <v>1457</v>
      </c>
      <c r="B122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2" t="str">
        <f>"2"</f>
        <v>2</v>
      </c>
      <c r="D122" t="str">
        <f>"1"</f>
        <v>1</v>
      </c>
      <c r="E122" t="str">
        <f>"2"</f>
        <v>2</v>
      </c>
      <c r="F122" s="2">
        <v>-17849515.23</v>
      </c>
    </row>
    <row r="123" spans="1:6" x14ac:dyDescent="0.25">
      <c r="A123">
        <v>1457</v>
      </c>
      <c r="B123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3" t="str">
        <f>"2"</f>
        <v>2</v>
      </c>
      <c r="D123" t="str">
        <f>"7"</f>
        <v>7</v>
      </c>
      <c r="E123" t="str">
        <f>"2"</f>
        <v>2</v>
      </c>
      <c r="F123" s="2">
        <v>-79241694.959999993</v>
      </c>
    </row>
    <row r="124" spans="1:6" x14ac:dyDescent="0.25">
      <c r="A124">
        <v>1457</v>
      </c>
      <c r="B124" t="str">
        <f t="shared" si="12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C124" t="str">
        <f>"2"</f>
        <v>2</v>
      </c>
      <c r="D124" t="str">
        <f>"4"</f>
        <v>4</v>
      </c>
      <c r="E124" t="str">
        <f>"1"</f>
        <v>1</v>
      </c>
      <c r="F124" s="2">
        <v>-288133745.5</v>
      </c>
    </row>
    <row r="125" spans="1:6" x14ac:dyDescent="0.25">
      <c r="A125">
        <v>1481</v>
      </c>
      <c r="B125" t="str">
        <f t="shared" ref="B125:B131" si="13">"Ценные бумаги, учитываемые по амортизированной стоимости"</f>
        <v>Ценные бумаги, учитываемые по амортизированной стоимости</v>
      </c>
      <c r="C125" t="str">
        <f>"1"</f>
        <v>1</v>
      </c>
      <c r="D125" t="str">
        <f>"4"</f>
        <v>4</v>
      </c>
      <c r="E125" t="str">
        <f>"2"</f>
        <v>2</v>
      </c>
      <c r="F125" s="2">
        <v>13743330400</v>
      </c>
    </row>
    <row r="126" spans="1:6" x14ac:dyDescent="0.25">
      <c r="A126">
        <v>1481</v>
      </c>
      <c r="B126" t="str">
        <f t="shared" si="13"/>
        <v>Ценные бумаги, учитываемые по амортизированной стоимости</v>
      </c>
      <c r="C126" t="str">
        <f>"1"</f>
        <v>1</v>
      </c>
      <c r="D126" t="str">
        <f>"1"</f>
        <v>1</v>
      </c>
      <c r="E126" t="str">
        <f>"2"</f>
        <v>2</v>
      </c>
      <c r="F126" s="2">
        <v>28153360000</v>
      </c>
    </row>
    <row r="127" spans="1:6" x14ac:dyDescent="0.25">
      <c r="A127">
        <v>1481</v>
      </c>
      <c r="B127" t="str">
        <f t="shared" si="13"/>
        <v>Ценные бумаги, учитываемые по амортизированной стоимости</v>
      </c>
      <c r="C127" t="str">
        <f>"2"</f>
        <v>2</v>
      </c>
      <c r="D127" t="str">
        <f>"3"</f>
        <v>3</v>
      </c>
      <c r="E127" t="str">
        <f>"2"</f>
        <v>2</v>
      </c>
      <c r="F127" s="2">
        <v>12381865000</v>
      </c>
    </row>
    <row r="128" spans="1:6" x14ac:dyDescent="0.25">
      <c r="A128">
        <v>1481</v>
      </c>
      <c r="B128" t="str">
        <f t="shared" si="13"/>
        <v>Ценные бумаги, учитываемые по амортизированной стоимости</v>
      </c>
      <c r="C128" t="str">
        <f>"1"</f>
        <v>1</v>
      </c>
      <c r="D128" t="str">
        <f>"1"</f>
        <v>1</v>
      </c>
      <c r="E128" t="str">
        <f>"1"</f>
        <v>1</v>
      </c>
      <c r="F128" s="2">
        <v>21568000000</v>
      </c>
    </row>
    <row r="129" spans="1:6" x14ac:dyDescent="0.25">
      <c r="A129">
        <v>1481</v>
      </c>
      <c r="B129" t="str">
        <f t="shared" si="13"/>
        <v>Ценные бумаги, учитываемые по амортизированной стоимости</v>
      </c>
      <c r="C129" t="str">
        <f>"1"</f>
        <v>1</v>
      </c>
      <c r="D129" t="str">
        <f>"3"</f>
        <v>3</v>
      </c>
      <c r="E129" t="str">
        <f>"1"</f>
        <v>1</v>
      </c>
      <c r="F129" s="2">
        <v>56027754600</v>
      </c>
    </row>
    <row r="130" spans="1:6" x14ac:dyDescent="0.25">
      <c r="A130">
        <v>1481</v>
      </c>
      <c r="B130" t="str">
        <f t="shared" si="13"/>
        <v>Ценные бумаги, учитываемые по амортизированной стоимости</v>
      </c>
      <c r="C130" t="str">
        <f>"2"</f>
        <v>2</v>
      </c>
      <c r="D130" t="str">
        <f>"7"</f>
        <v>7</v>
      </c>
      <c r="E130" t="str">
        <f>"2"</f>
        <v>2</v>
      </c>
      <c r="F130" s="2">
        <v>2871470000</v>
      </c>
    </row>
    <row r="131" spans="1:6" x14ac:dyDescent="0.25">
      <c r="A131">
        <v>1481</v>
      </c>
      <c r="B131" t="str">
        <f t="shared" si="13"/>
        <v>Ценные бумаги, учитываемые по амортизированной стоимости</v>
      </c>
      <c r="C131" t="str">
        <f>"2"</f>
        <v>2</v>
      </c>
      <c r="D131" t="str">
        <f>"5"</f>
        <v>5</v>
      </c>
      <c r="E131" t="str">
        <f>"2"</f>
        <v>2</v>
      </c>
      <c r="F131" s="2">
        <v>32530516600</v>
      </c>
    </row>
    <row r="132" spans="1:6" x14ac:dyDescent="0.25">
      <c r="A132">
        <v>1482</v>
      </c>
      <c r="B13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2" t="str">
        <f>"1"</f>
        <v>1</v>
      </c>
      <c r="D132" t="str">
        <f>"3"</f>
        <v>3</v>
      </c>
      <c r="E132" t="str">
        <f>"1"</f>
        <v>1</v>
      </c>
      <c r="F132" s="2">
        <v>-1248059177.8900001</v>
      </c>
    </row>
    <row r="133" spans="1:6" x14ac:dyDescent="0.25">
      <c r="A133">
        <v>1482</v>
      </c>
      <c r="B13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3" t="str">
        <f>"1"</f>
        <v>1</v>
      </c>
      <c r="D133" t="str">
        <f>"1"</f>
        <v>1</v>
      </c>
      <c r="E133" t="str">
        <f>"2"</f>
        <v>2</v>
      </c>
      <c r="F133" s="2">
        <v>-201850234.09</v>
      </c>
    </row>
    <row r="134" spans="1:6" x14ac:dyDescent="0.25">
      <c r="A134">
        <v>1482</v>
      </c>
      <c r="B134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C134" t="str">
        <f>"1"</f>
        <v>1</v>
      </c>
      <c r="D134" t="str">
        <f>"1"</f>
        <v>1</v>
      </c>
      <c r="E134" t="str">
        <f>"1"</f>
        <v>1</v>
      </c>
      <c r="F134" s="2">
        <v>-1218476347.7</v>
      </c>
    </row>
    <row r="135" spans="1:6" x14ac:dyDescent="0.25">
      <c r="A135">
        <v>1483</v>
      </c>
      <c r="B135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35" t="str">
        <f>"2"</f>
        <v>2</v>
      </c>
      <c r="D135" t="str">
        <f>"5"</f>
        <v>5</v>
      </c>
      <c r="E135" t="str">
        <f t="shared" ref="E135:E143" si="14">"2"</f>
        <v>2</v>
      </c>
      <c r="F135" s="2">
        <v>1212225228.8399999</v>
      </c>
    </row>
    <row r="136" spans="1:6" x14ac:dyDescent="0.25">
      <c r="A136">
        <v>1483</v>
      </c>
      <c r="B136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36" t="str">
        <f>"1"</f>
        <v>1</v>
      </c>
      <c r="D136" t="str">
        <f>"1"</f>
        <v>1</v>
      </c>
      <c r="E136" t="str">
        <f t="shared" si="14"/>
        <v>2</v>
      </c>
      <c r="F136" s="2">
        <v>1925732429.71</v>
      </c>
    </row>
    <row r="137" spans="1:6" x14ac:dyDescent="0.25">
      <c r="A137">
        <v>1483</v>
      </c>
      <c r="B137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37" t="str">
        <f>"1"</f>
        <v>1</v>
      </c>
      <c r="D137" t="str">
        <f>"4"</f>
        <v>4</v>
      </c>
      <c r="E137" t="str">
        <f t="shared" si="14"/>
        <v>2</v>
      </c>
      <c r="F137" s="2">
        <v>501165941.01999998</v>
      </c>
    </row>
    <row r="138" spans="1:6" x14ac:dyDescent="0.25">
      <c r="A138">
        <v>1483</v>
      </c>
      <c r="B138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38" t="str">
        <f>"2"</f>
        <v>2</v>
      </c>
      <c r="D138" t="str">
        <f>"3"</f>
        <v>3</v>
      </c>
      <c r="E138" t="str">
        <f t="shared" si="14"/>
        <v>2</v>
      </c>
      <c r="F138" s="2">
        <v>280175943.07999998</v>
      </c>
    </row>
    <row r="139" spans="1:6" x14ac:dyDescent="0.25">
      <c r="A139">
        <v>1483</v>
      </c>
      <c r="B13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C139" t="str">
        <f>"2"</f>
        <v>2</v>
      </c>
      <c r="D139" t="str">
        <f>"7"</f>
        <v>7</v>
      </c>
      <c r="E139" t="str">
        <f t="shared" si="14"/>
        <v>2</v>
      </c>
      <c r="F139" s="2">
        <v>58349047.649999999</v>
      </c>
    </row>
    <row r="140" spans="1:6" x14ac:dyDescent="0.25">
      <c r="A140">
        <v>1486</v>
      </c>
      <c r="B140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0" t="str">
        <f>"1"</f>
        <v>1</v>
      </c>
      <c r="D140" t="str">
        <f>"4"</f>
        <v>4</v>
      </c>
      <c r="E140" t="str">
        <f t="shared" si="14"/>
        <v>2</v>
      </c>
      <c r="F140" s="2">
        <v>-22658692.050000001</v>
      </c>
    </row>
    <row r="141" spans="1:6" x14ac:dyDescent="0.25">
      <c r="A141">
        <v>1486</v>
      </c>
      <c r="B14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1" t="str">
        <f>"2"</f>
        <v>2</v>
      </c>
      <c r="D141" t="str">
        <f>"3"</f>
        <v>3</v>
      </c>
      <c r="E141" t="str">
        <f t="shared" si="14"/>
        <v>2</v>
      </c>
      <c r="F141" s="2">
        <v>-10260798.630000001</v>
      </c>
    </row>
    <row r="142" spans="1:6" x14ac:dyDescent="0.25">
      <c r="A142">
        <v>1486</v>
      </c>
      <c r="B14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2" t="str">
        <f>"2"</f>
        <v>2</v>
      </c>
      <c r="D142" t="str">
        <f>"5"</f>
        <v>5</v>
      </c>
      <c r="E142" t="str">
        <f t="shared" si="14"/>
        <v>2</v>
      </c>
      <c r="F142" s="2">
        <v>-40724521.799999997</v>
      </c>
    </row>
    <row r="143" spans="1:6" x14ac:dyDescent="0.25">
      <c r="A143">
        <v>1486</v>
      </c>
      <c r="B14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C143" t="str">
        <f>"2"</f>
        <v>2</v>
      </c>
      <c r="D143" t="str">
        <f>"7"</f>
        <v>7</v>
      </c>
      <c r="E143" t="str">
        <f t="shared" si="14"/>
        <v>2</v>
      </c>
      <c r="F143" s="2">
        <v>-2302854.17</v>
      </c>
    </row>
    <row r="144" spans="1:6" x14ac:dyDescent="0.25">
      <c r="A144">
        <v>1491</v>
      </c>
      <c r="B144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144" t="str">
        <f>"1"</f>
        <v>1</v>
      </c>
      <c r="D144" t="str">
        <f>"7"</f>
        <v>7</v>
      </c>
      <c r="E144" t="str">
        <f>"1"</f>
        <v>1</v>
      </c>
      <c r="F144" s="2">
        <v>1669400000</v>
      </c>
    </row>
    <row r="145" spans="1:6" x14ac:dyDescent="0.25">
      <c r="A145">
        <v>1492</v>
      </c>
      <c r="B145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145" t="str">
        <f>"1"</f>
        <v>1</v>
      </c>
      <c r="D145" t="str">
        <f>"7"</f>
        <v>7</v>
      </c>
      <c r="E145" t="str">
        <f>"1"</f>
        <v>1</v>
      </c>
      <c r="F145" s="2">
        <v>-125788499.14</v>
      </c>
    </row>
    <row r="146" spans="1:6" x14ac:dyDescent="0.25">
      <c r="A146">
        <v>1495</v>
      </c>
      <c r="B146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146" t="str">
        <f>"1"</f>
        <v>1</v>
      </c>
      <c r="D146" t="str">
        <f>"7"</f>
        <v>7</v>
      </c>
      <c r="E146" t="str">
        <f>"1"</f>
        <v>1</v>
      </c>
      <c r="F146" s="2">
        <v>-62808837.840000004</v>
      </c>
    </row>
    <row r="147" spans="1:6" x14ac:dyDescent="0.25">
      <c r="A147">
        <v>1551</v>
      </c>
      <c r="B147" t="str">
        <f>"Расчеты с другими банками"</f>
        <v>Расчеты с другими банками</v>
      </c>
      <c r="C147" t="str">
        <f>"1"</f>
        <v>1</v>
      </c>
      <c r="D147" t="str">
        <f>"4"</f>
        <v>4</v>
      </c>
      <c r="E147" t="str">
        <f>"1"</f>
        <v>1</v>
      </c>
      <c r="F147" s="2">
        <v>272774.24</v>
      </c>
    </row>
    <row r="148" spans="1:6" x14ac:dyDescent="0.25">
      <c r="A148">
        <v>1552</v>
      </c>
      <c r="B148" t="str">
        <f>"Расчеты с клиентами"</f>
        <v>Расчеты с клиентами</v>
      </c>
      <c r="C148" t="str">
        <f>"1"</f>
        <v>1</v>
      </c>
      <c r="D148" t="str">
        <f>"6"</f>
        <v>6</v>
      </c>
      <c r="E148" t="str">
        <f>"1"</f>
        <v>1</v>
      </c>
      <c r="F148" s="2">
        <v>1750610.5</v>
      </c>
    </row>
    <row r="149" spans="1:6" x14ac:dyDescent="0.25">
      <c r="A149">
        <v>1602</v>
      </c>
      <c r="B149" t="str">
        <f>"Прочие запасы"</f>
        <v>Прочие запасы</v>
      </c>
      <c r="C149" t="str">
        <f>""</f>
        <v/>
      </c>
      <c r="D149" t="str">
        <f>""</f>
        <v/>
      </c>
      <c r="E149" t="str">
        <f>""</f>
        <v/>
      </c>
      <c r="F149" s="2">
        <v>290118133.63999999</v>
      </c>
    </row>
    <row r="150" spans="1:6" x14ac:dyDescent="0.25">
      <c r="A150">
        <v>1603</v>
      </c>
      <c r="B150" t="str">
        <f>"Монеты, изготовленные из драгоценных металлов, на складе"</f>
        <v>Монеты, изготовленные из драгоценных металлов, на складе</v>
      </c>
      <c r="C150" t="str">
        <f>"2"</f>
        <v>2</v>
      </c>
      <c r="D150" t="str">
        <f>""</f>
        <v/>
      </c>
      <c r="E150" t="str">
        <f>""</f>
        <v/>
      </c>
      <c r="F150" s="2">
        <v>2255310.6</v>
      </c>
    </row>
    <row r="151" spans="1:6" x14ac:dyDescent="0.25">
      <c r="A151">
        <v>1604</v>
      </c>
      <c r="B151" t="str">
        <f>"Коллекционные монеты, изготовленные из недрагоценных металлов, на складе"</f>
        <v>Коллекционные монеты, изготовленные из недрагоценных металлов, на складе</v>
      </c>
      <c r="C151" t="str">
        <f>"2"</f>
        <v>2</v>
      </c>
      <c r="D151" t="str">
        <f>""</f>
        <v/>
      </c>
      <c r="E151" t="str">
        <f>""</f>
        <v/>
      </c>
      <c r="F151" s="2">
        <v>107174.04</v>
      </c>
    </row>
    <row r="152" spans="1:6" x14ac:dyDescent="0.25">
      <c r="A152">
        <v>1610</v>
      </c>
      <c r="B152" t="str">
        <f>"Долгосрочные активы, предназначенные для продажи"</f>
        <v>Долгосрочные активы, предназначенные для продажи</v>
      </c>
      <c r="C152" t="str">
        <f>""</f>
        <v/>
      </c>
      <c r="D152" t="str">
        <f>""</f>
        <v/>
      </c>
      <c r="E152" t="str">
        <f>""</f>
        <v/>
      </c>
      <c r="F152" s="2">
        <v>1868378071.97</v>
      </c>
    </row>
    <row r="153" spans="1:6" x14ac:dyDescent="0.25">
      <c r="A153">
        <v>1651</v>
      </c>
      <c r="B153" t="str">
        <f>"Строящиеся (устанавливаемые) основные средства"</f>
        <v>Строящиеся (устанавливаемые) основные средства</v>
      </c>
      <c r="C153" t="str">
        <f>""</f>
        <v/>
      </c>
      <c r="D153" t="str">
        <f>""</f>
        <v/>
      </c>
      <c r="E153" t="str">
        <f>""</f>
        <v/>
      </c>
      <c r="F153" s="2">
        <v>2128342.39</v>
      </c>
    </row>
    <row r="154" spans="1:6" x14ac:dyDescent="0.25">
      <c r="A154">
        <v>1652</v>
      </c>
      <c r="B154" t="str">
        <f>"Земля, здания и сооружения"</f>
        <v>Земля, здания и сооружения</v>
      </c>
      <c r="C154" t="str">
        <f>""</f>
        <v/>
      </c>
      <c r="D154" t="str">
        <f>""</f>
        <v/>
      </c>
      <c r="E154" t="str">
        <f>""</f>
        <v/>
      </c>
      <c r="F154" s="2">
        <v>11725907486.780001</v>
      </c>
    </row>
    <row r="155" spans="1:6" x14ac:dyDescent="0.25">
      <c r="A155">
        <v>1653</v>
      </c>
      <c r="B155" t="str">
        <f>"Компьютерное оборудование"</f>
        <v>Компьютерное оборудование</v>
      </c>
      <c r="C155" t="str">
        <f>""</f>
        <v/>
      </c>
      <c r="D155" t="str">
        <f>""</f>
        <v/>
      </c>
      <c r="E155" t="str">
        <f>""</f>
        <v/>
      </c>
      <c r="F155" s="2">
        <v>5802215245.9700003</v>
      </c>
    </row>
    <row r="156" spans="1:6" x14ac:dyDescent="0.25">
      <c r="A156">
        <v>1654</v>
      </c>
      <c r="B156" t="str">
        <f>"Прочие основные средства"</f>
        <v>Прочие основные средства</v>
      </c>
      <c r="C156" t="str">
        <f>""</f>
        <v/>
      </c>
      <c r="D156" t="str">
        <f>""</f>
        <v/>
      </c>
      <c r="E156" t="str">
        <f>""</f>
        <v/>
      </c>
      <c r="F156" s="2">
        <v>11142394619.620001</v>
      </c>
    </row>
    <row r="157" spans="1:6" x14ac:dyDescent="0.25">
      <c r="A157">
        <v>1655</v>
      </c>
      <c r="B157" t="str">
        <f>"Активы в форме права пользования"</f>
        <v>Активы в форме права пользования</v>
      </c>
      <c r="C157" t="str">
        <f>""</f>
        <v/>
      </c>
      <c r="D157" t="str">
        <f>""</f>
        <v/>
      </c>
      <c r="E157" t="str">
        <f>""</f>
        <v/>
      </c>
      <c r="F157" s="2">
        <v>4747004114.1599998</v>
      </c>
    </row>
    <row r="158" spans="1:6" x14ac:dyDescent="0.25">
      <c r="A158">
        <v>1657</v>
      </c>
      <c r="B158" t="str">
        <f>"Капитальные затраты по активам в форме права пользования"</f>
        <v>Капитальные затраты по активам в форме права пользования</v>
      </c>
      <c r="C158" t="str">
        <f>""</f>
        <v/>
      </c>
      <c r="D158" t="str">
        <f>""</f>
        <v/>
      </c>
      <c r="E158" t="str">
        <f>""</f>
        <v/>
      </c>
      <c r="F158" s="2">
        <v>787793730.02999997</v>
      </c>
    </row>
    <row r="159" spans="1:6" x14ac:dyDescent="0.25">
      <c r="A159">
        <v>1658</v>
      </c>
      <c r="B159" t="str">
        <f>"Транспортные средства"</f>
        <v>Транспортные средства</v>
      </c>
      <c r="C159" t="str">
        <f>""</f>
        <v/>
      </c>
      <c r="D159" t="str">
        <f>""</f>
        <v/>
      </c>
      <c r="E159" t="str">
        <f>""</f>
        <v/>
      </c>
      <c r="F159" s="2">
        <v>609799991.74000001</v>
      </c>
    </row>
    <row r="160" spans="1:6" x14ac:dyDescent="0.25">
      <c r="A160">
        <v>1659</v>
      </c>
      <c r="B160" t="str">
        <f>"Нематериальные активы"</f>
        <v>Нематериальные активы</v>
      </c>
      <c r="C160" t="str">
        <f>""</f>
        <v/>
      </c>
      <c r="D160" t="str">
        <f>""</f>
        <v/>
      </c>
      <c r="E160" t="str">
        <f>""</f>
        <v/>
      </c>
      <c r="F160" s="2">
        <v>20235264468.689999</v>
      </c>
    </row>
    <row r="161" spans="1:6" x14ac:dyDescent="0.25">
      <c r="A161">
        <v>1692</v>
      </c>
      <c r="B161" t="str">
        <f>"Начисленная амортизация по зданиям и сооружениям"</f>
        <v>Начисленная амортизация по зданиям и сооружениям</v>
      </c>
      <c r="C161" t="str">
        <f>""</f>
        <v/>
      </c>
      <c r="D161" t="str">
        <f>""</f>
        <v/>
      </c>
      <c r="E161" t="str">
        <f>""</f>
        <v/>
      </c>
      <c r="F161" s="2">
        <v>-2568885012</v>
      </c>
    </row>
    <row r="162" spans="1:6" x14ac:dyDescent="0.25">
      <c r="A162">
        <v>1693</v>
      </c>
      <c r="B162" t="str">
        <f>"Начисленная амортизация по компьютерному оборудованию"</f>
        <v>Начисленная амортизация по компьютерному оборудованию</v>
      </c>
      <c r="C162" t="str">
        <f>""</f>
        <v/>
      </c>
      <c r="D162" t="str">
        <f>""</f>
        <v/>
      </c>
      <c r="E162" t="str">
        <f>""</f>
        <v/>
      </c>
      <c r="F162" s="2">
        <v>-3490485251.3899999</v>
      </c>
    </row>
    <row r="163" spans="1:6" x14ac:dyDescent="0.25">
      <c r="A163">
        <v>1694</v>
      </c>
      <c r="B163" t="str">
        <f>"Начисленная амортизация по прочим основным средствам"</f>
        <v>Начисленная амортизация по прочим основным средствам</v>
      </c>
      <c r="C163" t="str">
        <f>""</f>
        <v/>
      </c>
      <c r="D163" t="str">
        <f>""</f>
        <v/>
      </c>
      <c r="E163" t="str">
        <f>""</f>
        <v/>
      </c>
      <c r="F163" s="2">
        <v>-9138108450.8299999</v>
      </c>
    </row>
    <row r="164" spans="1:6" x14ac:dyDescent="0.25">
      <c r="A164">
        <v>1695</v>
      </c>
      <c r="B164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164" t="str">
        <f>""</f>
        <v/>
      </c>
      <c r="D164" t="str">
        <f>""</f>
        <v/>
      </c>
      <c r="E164" t="str">
        <f>""</f>
        <v/>
      </c>
      <c r="F164" s="2">
        <v>-2589999177.1599998</v>
      </c>
    </row>
    <row r="165" spans="1:6" x14ac:dyDescent="0.25">
      <c r="A165">
        <v>1697</v>
      </c>
      <c r="B16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165" t="str">
        <f>""</f>
        <v/>
      </c>
      <c r="D165" t="str">
        <f>""</f>
        <v/>
      </c>
      <c r="E165" t="str">
        <f>""</f>
        <v/>
      </c>
      <c r="F165" s="2">
        <v>-786862203.02999997</v>
      </c>
    </row>
    <row r="166" spans="1:6" x14ac:dyDescent="0.25">
      <c r="A166">
        <v>1698</v>
      </c>
      <c r="B166" t="str">
        <f>"Начисленная амортизация по транспортным средствам"</f>
        <v>Начисленная амортизация по транспортным средствам</v>
      </c>
      <c r="C166" t="str">
        <f>""</f>
        <v/>
      </c>
      <c r="D166" t="str">
        <f>""</f>
        <v/>
      </c>
      <c r="E166" t="str">
        <f>""</f>
        <v/>
      </c>
      <c r="F166" s="2">
        <v>-509420993.72000003</v>
      </c>
    </row>
    <row r="167" spans="1:6" x14ac:dyDescent="0.25">
      <c r="A167">
        <v>1699</v>
      </c>
      <c r="B167" t="str">
        <f>"Начисленная амортизация по нематериальным активам"</f>
        <v>Начисленная амортизация по нематериальным активам</v>
      </c>
      <c r="C167" t="str">
        <f>""</f>
        <v/>
      </c>
      <c r="D167" t="str">
        <f>""</f>
        <v/>
      </c>
      <c r="E167" t="str">
        <f>""</f>
        <v/>
      </c>
      <c r="F167" s="2">
        <v>-13523008915.120001</v>
      </c>
    </row>
    <row r="168" spans="1:6" x14ac:dyDescent="0.25">
      <c r="A168">
        <v>1705</v>
      </c>
      <c r="B168" t="str">
        <f>"Начисленные доходы по корреспондентским счетам"</f>
        <v>Начисленные доходы по корреспондентским счетам</v>
      </c>
      <c r="C168" t="str">
        <f>"2"</f>
        <v>2</v>
      </c>
      <c r="D168" t="str">
        <f>"4"</f>
        <v>4</v>
      </c>
      <c r="E168" t="str">
        <f>"3"</f>
        <v>3</v>
      </c>
      <c r="F168" s="2">
        <v>1562987</v>
      </c>
    </row>
    <row r="169" spans="1:6" x14ac:dyDescent="0.25">
      <c r="A169">
        <v>1705</v>
      </c>
      <c r="B169" t="str">
        <f>"Начисленные доходы по корреспондентским счетам"</f>
        <v>Начисленные доходы по корреспондентским счетам</v>
      </c>
      <c r="C169" t="str">
        <f>"2"</f>
        <v>2</v>
      </c>
      <c r="D169" t="str">
        <f>"4"</f>
        <v>4</v>
      </c>
      <c r="E169" t="str">
        <f>"2"</f>
        <v>2</v>
      </c>
      <c r="F169" s="2">
        <v>60033.15</v>
      </c>
    </row>
    <row r="170" spans="1:6" x14ac:dyDescent="0.25">
      <c r="A170">
        <v>1710</v>
      </c>
      <c r="B170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0" t="str">
        <f>"1"</f>
        <v>1</v>
      </c>
      <c r="D170" t="str">
        <f>"3"</f>
        <v>3</v>
      </c>
      <c r="E170" t="str">
        <f>"1"</f>
        <v>1</v>
      </c>
      <c r="F170" s="2">
        <v>2708333.33</v>
      </c>
    </row>
    <row r="171" spans="1:6" x14ac:dyDescent="0.25">
      <c r="A171">
        <v>1710</v>
      </c>
      <c r="B17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C171" t="str">
        <f>"1"</f>
        <v>1</v>
      </c>
      <c r="D171" t="str">
        <f>"3"</f>
        <v>3</v>
      </c>
      <c r="E171" t="str">
        <f>"2"</f>
        <v>2</v>
      </c>
      <c r="F171" s="2">
        <v>14508445.449999999</v>
      </c>
    </row>
    <row r="172" spans="1:6" x14ac:dyDescent="0.25">
      <c r="A172">
        <v>1725</v>
      </c>
      <c r="B172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C172" t="str">
        <f>"2"</f>
        <v>2</v>
      </c>
      <c r="D172" t="str">
        <f>"4"</f>
        <v>4</v>
      </c>
      <c r="E172" t="str">
        <f>"3"</f>
        <v>3</v>
      </c>
      <c r="F172" s="2">
        <v>591780.84</v>
      </c>
    </row>
    <row r="173" spans="1:6" x14ac:dyDescent="0.25">
      <c r="A173">
        <v>1725</v>
      </c>
      <c r="B173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C173" t="str">
        <f>"2"</f>
        <v>2</v>
      </c>
      <c r="D173" t="str">
        <f>"4"</f>
        <v>4</v>
      </c>
      <c r="E173" t="str">
        <f>"2"</f>
        <v>2</v>
      </c>
      <c r="F173" s="2">
        <v>2015072.42</v>
      </c>
    </row>
    <row r="174" spans="1:6" x14ac:dyDescent="0.25">
      <c r="A174">
        <v>1730</v>
      </c>
      <c r="B174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C174" t="str">
        <f>"2"</f>
        <v>2</v>
      </c>
      <c r="D174" t="str">
        <f>"4"</f>
        <v>4</v>
      </c>
      <c r="E174" t="str">
        <f>"2"</f>
        <v>2</v>
      </c>
      <c r="F174" s="2">
        <v>7804245.2400000002</v>
      </c>
    </row>
    <row r="175" spans="1:6" x14ac:dyDescent="0.25">
      <c r="A175">
        <v>1740</v>
      </c>
      <c r="B175" t="str">
        <f t="shared" ref="B175:B185" si="15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175" t="str">
        <f>"1"</f>
        <v>1</v>
      </c>
      <c r="D175" t="str">
        <f>"7"</f>
        <v>7</v>
      </c>
      <c r="E175" t="str">
        <f>"1"</f>
        <v>1</v>
      </c>
      <c r="F175" s="2">
        <v>7788830376.0900002</v>
      </c>
    </row>
    <row r="176" spans="1:6" x14ac:dyDescent="0.25">
      <c r="A176">
        <v>1740</v>
      </c>
      <c r="B176" t="str">
        <f t="shared" si="15"/>
        <v>Начисленные доходы по займам и финансовому лизингу, предоставленным клиентам</v>
      </c>
      <c r="C176" t="str">
        <f>"1"</f>
        <v>1</v>
      </c>
      <c r="D176" t="str">
        <f>"7"</f>
        <v>7</v>
      </c>
      <c r="E176" t="str">
        <f>"2"</f>
        <v>2</v>
      </c>
      <c r="F176" s="2">
        <v>19618534572.470001</v>
      </c>
    </row>
    <row r="177" spans="1:6" x14ac:dyDescent="0.25">
      <c r="A177">
        <v>1740</v>
      </c>
      <c r="B177" t="str">
        <f t="shared" si="15"/>
        <v>Начисленные доходы по займам и финансовому лизингу, предоставленным клиентам</v>
      </c>
      <c r="C177" t="str">
        <f>"1"</f>
        <v>1</v>
      </c>
      <c r="D177" t="str">
        <f>"9"</f>
        <v>9</v>
      </c>
      <c r="E177" t="str">
        <f>"2"</f>
        <v>2</v>
      </c>
      <c r="F177" s="2">
        <v>2645003.65</v>
      </c>
    </row>
    <row r="178" spans="1:6" x14ac:dyDescent="0.25">
      <c r="A178">
        <v>1740</v>
      </c>
      <c r="B178" t="str">
        <f t="shared" si="15"/>
        <v>Начисленные доходы по займам и финансовому лизингу, предоставленным клиентам</v>
      </c>
      <c r="C178" t="str">
        <f>"2"</f>
        <v>2</v>
      </c>
      <c r="D178" t="str">
        <f>"7"</f>
        <v>7</v>
      </c>
      <c r="E178" t="str">
        <f>"2"</f>
        <v>2</v>
      </c>
      <c r="F178" s="2">
        <v>12223224.789999999</v>
      </c>
    </row>
    <row r="179" spans="1:6" x14ac:dyDescent="0.25">
      <c r="A179">
        <v>1740</v>
      </c>
      <c r="B179" t="str">
        <f t="shared" si="15"/>
        <v>Начисленные доходы по займам и финансовому лизингу, предоставленным клиентам</v>
      </c>
      <c r="C179" t="str">
        <f>"2"</f>
        <v>2</v>
      </c>
      <c r="D179" t="str">
        <f>"7"</f>
        <v>7</v>
      </c>
      <c r="E179" t="str">
        <f>"3"</f>
        <v>3</v>
      </c>
      <c r="F179" s="2">
        <v>15705340.93</v>
      </c>
    </row>
    <row r="180" spans="1:6" x14ac:dyDescent="0.25">
      <c r="A180">
        <v>1740</v>
      </c>
      <c r="B180" t="str">
        <f t="shared" si="15"/>
        <v>Начисленные доходы по займам и финансовому лизингу, предоставленным клиентам</v>
      </c>
      <c r="C180" t="str">
        <f>"2"</f>
        <v>2</v>
      </c>
      <c r="D180" t="str">
        <f>"9"</f>
        <v>9</v>
      </c>
      <c r="E180" t="str">
        <f>"1"</f>
        <v>1</v>
      </c>
      <c r="F180" s="2">
        <v>3619446.41</v>
      </c>
    </row>
    <row r="181" spans="1:6" x14ac:dyDescent="0.25">
      <c r="A181">
        <v>1740</v>
      </c>
      <c r="B181" t="str">
        <f t="shared" si="15"/>
        <v>Начисленные доходы по займам и финансовому лизингу, предоставленным клиентам</v>
      </c>
      <c r="C181" t="str">
        <f>"1"</f>
        <v>1</v>
      </c>
      <c r="D181" t="str">
        <f>"5"</f>
        <v>5</v>
      </c>
      <c r="E181" t="str">
        <f>"1"</f>
        <v>1</v>
      </c>
      <c r="F181" s="2">
        <v>24713026.5</v>
      </c>
    </row>
    <row r="182" spans="1:6" x14ac:dyDescent="0.25">
      <c r="A182">
        <v>1740</v>
      </c>
      <c r="B182" t="str">
        <f t="shared" si="15"/>
        <v>Начисленные доходы по займам и финансовому лизингу, предоставленным клиентам</v>
      </c>
      <c r="C182" t="str">
        <f>"1"</f>
        <v>1</v>
      </c>
      <c r="D182" t="str">
        <f>"9"</f>
        <v>9</v>
      </c>
      <c r="E182" t="str">
        <f>"1"</f>
        <v>1</v>
      </c>
      <c r="F182" s="2">
        <v>10358987470.41</v>
      </c>
    </row>
    <row r="183" spans="1:6" x14ac:dyDescent="0.25">
      <c r="A183">
        <v>1740</v>
      </c>
      <c r="B183" t="str">
        <f t="shared" si="15"/>
        <v>Начисленные доходы по займам и финансовому лизингу, предоставленным клиентам</v>
      </c>
      <c r="C183" t="str">
        <f>"1"</f>
        <v>1</v>
      </c>
      <c r="D183" t="str">
        <f>"5"</f>
        <v>5</v>
      </c>
      <c r="E183" t="str">
        <f>"2"</f>
        <v>2</v>
      </c>
      <c r="F183" s="2">
        <v>24355225.609999999</v>
      </c>
    </row>
    <row r="184" spans="1:6" x14ac:dyDescent="0.25">
      <c r="A184">
        <v>1740</v>
      </c>
      <c r="B184" t="str">
        <f t="shared" si="15"/>
        <v>Начисленные доходы по займам и финансовому лизингу, предоставленным клиентам</v>
      </c>
      <c r="C184" t="str">
        <f>"1"</f>
        <v>1</v>
      </c>
      <c r="D184" t="str">
        <f>"6"</f>
        <v>6</v>
      </c>
      <c r="E184" t="str">
        <f>"1"</f>
        <v>1</v>
      </c>
      <c r="F184" s="2">
        <v>43433180.549999997</v>
      </c>
    </row>
    <row r="185" spans="1:6" x14ac:dyDescent="0.25">
      <c r="A185">
        <v>1740</v>
      </c>
      <c r="B185" t="str">
        <f t="shared" si="15"/>
        <v>Начисленные доходы по займам и финансовому лизингу, предоставленным клиентам</v>
      </c>
      <c r="C185" t="str">
        <f>"2"</f>
        <v>2</v>
      </c>
      <c r="D185" t="str">
        <f>"9"</f>
        <v>9</v>
      </c>
      <c r="E185" t="str">
        <f>"2"</f>
        <v>2</v>
      </c>
      <c r="F185" s="2">
        <v>541179.26</v>
      </c>
    </row>
    <row r="186" spans="1:6" x14ac:dyDescent="0.25">
      <c r="A186">
        <v>1741</v>
      </c>
      <c r="B186" t="str">
        <f t="shared" ref="B186:B193" si="16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186" t="str">
        <f>"1"</f>
        <v>1</v>
      </c>
      <c r="D186" t="str">
        <f>"7"</f>
        <v>7</v>
      </c>
      <c r="E186" t="str">
        <f>"2"</f>
        <v>2</v>
      </c>
      <c r="F186" s="2">
        <v>2245790172.1100001</v>
      </c>
    </row>
    <row r="187" spans="1:6" x14ac:dyDescent="0.25">
      <c r="A187">
        <v>1741</v>
      </c>
      <c r="B187" t="str">
        <f t="shared" si="16"/>
        <v>Просроченное вознаграждение по займам и финансовому лизингу, предоставленным клиентам</v>
      </c>
      <c r="C187" t="str">
        <f>"1"</f>
        <v>1</v>
      </c>
      <c r="D187" t="str">
        <f>"9"</f>
        <v>9</v>
      </c>
      <c r="E187" t="str">
        <f>"2"</f>
        <v>2</v>
      </c>
      <c r="F187" s="2">
        <v>427677451.27999997</v>
      </c>
    </row>
    <row r="188" spans="1:6" x14ac:dyDescent="0.25">
      <c r="A188">
        <v>1741</v>
      </c>
      <c r="B188" t="str">
        <f t="shared" si="16"/>
        <v>Просроченное вознаграждение по займам и финансовому лизингу, предоставленным клиентам</v>
      </c>
      <c r="C188" t="str">
        <f>"1"</f>
        <v>1</v>
      </c>
      <c r="D188" t="str">
        <f>"7"</f>
        <v>7</v>
      </c>
      <c r="E188" t="str">
        <f>"1"</f>
        <v>1</v>
      </c>
      <c r="F188" s="2">
        <v>31443067296.25</v>
      </c>
    </row>
    <row r="189" spans="1:6" x14ac:dyDescent="0.25">
      <c r="A189">
        <v>1741</v>
      </c>
      <c r="B189" t="str">
        <f t="shared" si="16"/>
        <v>Просроченное вознаграждение по займам и финансовому лизингу, предоставленным клиентам</v>
      </c>
      <c r="C189" t="str">
        <f>"2"</f>
        <v>2</v>
      </c>
      <c r="D189" t="str">
        <f>"9"</f>
        <v>9</v>
      </c>
      <c r="E189" t="str">
        <f>"2"</f>
        <v>2</v>
      </c>
      <c r="F189" s="2">
        <v>60188.6</v>
      </c>
    </row>
    <row r="190" spans="1:6" x14ac:dyDescent="0.25">
      <c r="A190">
        <v>1741</v>
      </c>
      <c r="B190" t="str">
        <f t="shared" si="16"/>
        <v>Просроченное вознаграждение по займам и финансовому лизингу, предоставленным клиентам</v>
      </c>
      <c r="C190" t="str">
        <f>"1"</f>
        <v>1</v>
      </c>
      <c r="D190" t="str">
        <f>"5"</f>
        <v>5</v>
      </c>
      <c r="E190" t="str">
        <f>"1"</f>
        <v>1</v>
      </c>
      <c r="F190" s="2">
        <v>506792017.37</v>
      </c>
    </row>
    <row r="191" spans="1:6" x14ac:dyDescent="0.25">
      <c r="A191">
        <v>1741</v>
      </c>
      <c r="B191" t="str">
        <f t="shared" si="16"/>
        <v>Просроченное вознаграждение по займам и финансовому лизингу, предоставленным клиентам</v>
      </c>
      <c r="C191" t="str">
        <f>"1"</f>
        <v>1</v>
      </c>
      <c r="D191" t="str">
        <f>"9"</f>
        <v>9</v>
      </c>
      <c r="E191" t="str">
        <f>"1"</f>
        <v>1</v>
      </c>
      <c r="F191" s="2">
        <v>9549191196.0900002</v>
      </c>
    </row>
    <row r="192" spans="1:6" x14ac:dyDescent="0.25">
      <c r="A192">
        <v>1741</v>
      </c>
      <c r="B192" t="str">
        <f t="shared" si="16"/>
        <v>Просроченное вознаграждение по займам и финансовому лизингу, предоставленным клиентам</v>
      </c>
      <c r="C192" t="str">
        <f>"2"</f>
        <v>2</v>
      </c>
      <c r="D192" t="str">
        <f>"9"</f>
        <v>9</v>
      </c>
      <c r="E192" t="str">
        <f>"1"</f>
        <v>1</v>
      </c>
      <c r="F192" s="2">
        <v>32768102.539999999</v>
      </c>
    </row>
    <row r="193" spans="1:6" x14ac:dyDescent="0.25">
      <c r="A193">
        <v>1741</v>
      </c>
      <c r="B193" t="str">
        <f t="shared" si="16"/>
        <v>Просроченное вознаграждение по займам и финансовому лизингу, предоставленным клиентам</v>
      </c>
      <c r="C193" t="str">
        <f>"2"</f>
        <v>2</v>
      </c>
      <c r="D193" t="str">
        <f>"7"</f>
        <v>7</v>
      </c>
      <c r="E193" t="str">
        <f>"3"</f>
        <v>3</v>
      </c>
      <c r="F193" s="2">
        <v>109165647.8</v>
      </c>
    </row>
    <row r="194" spans="1:6" x14ac:dyDescent="0.25">
      <c r="A194">
        <v>1745</v>
      </c>
      <c r="B194" t="str">
        <f t="shared" ref="B194:B199" si="17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C194" t="str">
        <f>"1"</f>
        <v>1</v>
      </c>
      <c r="D194" t="str">
        <f>"1"</f>
        <v>1</v>
      </c>
      <c r="E194" t="str">
        <f>"2"</f>
        <v>2</v>
      </c>
      <c r="F194" s="2">
        <v>425048327.70999998</v>
      </c>
    </row>
    <row r="195" spans="1:6" x14ac:dyDescent="0.25">
      <c r="A195">
        <v>1745</v>
      </c>
      <c r="B195" t="str">
        <f t="shared" si="17"/>
        <v>Начисленные доходы по ценным бумагам, учитываемым по амортизированной стоимости</v>
      </c>
      <c r="C195" t="str">
        <f>"1"</f>
        <v>1</v>
      </c>
      <c r="D195" t="str">
        <f>"1"</f>
        <v>1</v>
      </c>
      <c r="E195" t="str">
        <f>"1"</f>
        <v>1</v>
      </c>
      <c r="F195" s="2">
        <v>692611111.12</v>
      </c>
    </row>
    <row r="196" spans="1:6" x14ac:dyDescent="0.25">
      <c r="A196">
        <v>1745</v>
      </c>
      <c r="B196" t="str">
        <f t="shared" si="17"/>
        <v>Начисленные доходы по ценным бумагам, учитываемым по амортизированной стоимости</v>
      </c>
      <c r="C196" t="str">
        <f>"2"</f>
        <v>2</v>
      </c>
      <c r="D196" t="str">
        <f>"5"</f>
        <v>5</v>
      </c>
      <c r="E196" t="str">
        <f>"2"</f>
        <v>2</v>
      </c>
      <c r="F196" s="2">
        <v>423221852.56999999</v>
      </c>
    </row>
    <row r="197" spans="1:6" x14ac:dyDescent="0.25">
      <c r="A197">
        <v>1745</v>
      </c>
      <c r="B197" t="str">
        <f t="shared" si="17"/>
        <v>Начисленные доходы по ценным бумагам, учитываемым по амортизированной стоимости</v>
      </c>
      <c r="C197" t="str">
        <f>"1"</f>
        <v>1</v>
      </c>
      <c r="D197" t="str">
        <f>"4"</f>
        <v>4</v>
      </c>
      <c r="E197" t="str">
        <f>"2"</f>
        <v>2</v>
      </c>
      <c r="F197" s="2">
        <v>43477574.969999999</v>
      </c>
    </row>
    <row r="198" spans="1:6" x14ac:dyDescent="0.25">
      <c r="A198">
        <v>1745</v>
      </c>
      <c r="B198" t="str">
        <f t="shared" si="17"/>
        <v>Начисленные доходы по ценным бумагам, учитываемым по амортизированной стоимости</v>
      </c>
      <c r="C198" t="str">
        <f>"2"</f>
        <v>2</v>
      </c>
      <c r="D198" t="str">
        <f>"3"</f>
        <v>3</v>
      </c>
      <c r="E198" t="str">
        <f>"2"</f>
        <v>2</v>
      </c>
      <c r="F198" s="2">
        <v>163956541.28</v>
      </c>
    </row>
    <row r="199" spans="1:6" x14ac:dyDescent="0.25">
      <c r="A199">
        <v>1745</v>
      </c>
      <c r="B199" t="str">
        <f t="shared" si="17"/>
        <v>Начисленные доходы по ценным бумагам, учитываемым по амортизированной стоимости</v>
      </c>
      <c r="C199" t="str">
        <f>"2"</f>
        <v>2</v>
      </c>
      <c r="D199" t="str">
        <f>"7"</f>
        <v>7</v>
      </c>
      <c r="E199" t="str">
        <f>"2"</f>
        <v>2</v>
      </c>
      <c r="F199" s="2">
        <v>33012582.440000001</v>
      </c>
    </row>
    <row r="200" spans="1:6" x14ac:dyDescent="0.25">
      <c r="A200">
        <v>1746</v>
      </c>
      <c r="B200" t="str">
        <f t="shared" ref="B200:B208" si="18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C200" t="str">
        <f>"2"</f>
        <v>2</v>
      </c>
      <c r="D200" t="str">
        <f>"4"</f>
        <v>4</v>
      </c>
      <c r="E200" t="str">
        <f>"1"</f>
        <v>1</v>
      </c>
      <c r="F200" s="2">
        <v>54733043.439999998</v>
      </c>
    </row>
    <row r="201" spans="1:6" x14ac:dyDescent="0.25">
      <c r="A201">
        <v>1746</v>
      </c>
      <c r="B201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1" t="str">
        <f>"2"</f>
        <v>2</v>
      </c>
      <c r="D201" t="str">
        <f>"5"</f>
        <v>5</v>
      </c>
      <c r="E201" t="str">
        <f>"2"</f>
        <v>2</v>
      </c>
      <c r="F201" s="2">
        <v>79357857.799999997</v>
      </c>
    </row>
    <row r="202" spans="1:6" x14ac:dyDescent="0.25">
      <c r="A202">
        <v>1746</v>
      </c>
      <c r="B202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2" t="str">
        <f>"1"</f>
        <v>1</v>
      </c>
      <c r="D202" t="str">
        <f>"6"</f>
        <v>6</v>
      </c>
      <c r="E202" t="str">
        <f>"2"</f>
        <v>2</v>
      </c>
      <c r="F202" s="2">
        <v>40157400</v>
      </c>
    </row>
    <row r="203" spans="1:6" x14ac:dyDescent="0.25">
      <c r="A203">
        <v>1746</v>
      </c>
      <c r="B203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3" t="str">
        <f>"2"</f>
        <v>2</v>
      </c>
      <c r="D203" t="str">
        <f>"3"</f>
        <v>3</v>
      </c>
      <c r="E203" t="str">
        <f>"2"</f>
        <v>2</v>
      </c>
      <c r="F203" s="2">
        <v>27055736.420000002</v>
      </c>
    </row>
    <row r="204" spans="1:6" x14ac:dyDescent="0.25">
      <c r="A204">
        <v>1746</v>
      </c>
      <c r="B204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4" t="str">
        <f>"2"</f>
        <v>2</v>
      </c>
      <c r="D204" t="str">
        <f>"1"</f>
        <v>1</v>
      </c>
      <c r="E204" t="str">
        <f>"2"</f>
        <v>2</v>
      </c>
      <c r="F204" s="2">
        <v>548601.9</v>
      </c>
    </row>
    <row r="205" spans="1:6" x14ac:dyDescent="0.25">
      <c r="A205">
        <v>1746</v>
      </c>
      <c r="B205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5" t="str">
        <f>"1"</f>
        <v>1</v>
      </c>
      <c r="D205" t="str">
        <f>"1"</f>
        <v>1</v>
      </c>
      <c r="E205" t="str">
        <f>"2"</f>
        <v>2</v>
      </c>
      <c r="F205" s="2">
        <v>228381088.88999999</v>
      </c>
    </row>
    <row r="206" spans="1:6" x14ac:dyDescent="0.25">
      <c r="A206">
        <v>1746</v>
      </c>
      <c r="B206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6" t="str">
        <f>"1"</f>
        <v>1</v>
      </c>
      <c r="D206" t="str">
        <f>"5"</f>
        <v>5</v>
      </c>
      <c r="E206" t="str">
        <f>"1"</f>
        <v>1</v>
      </c>
      <c r="F206" s="2">
        <v>43822222.219999999</v>
      </c>
    </row>
    <row r="207" spans="1:6" x14ac:dyDescent="0.25">
      <c r="A207">
        <v>1746</v>
      </c>
      <c r="B207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7" t="str">
        <f>"2"</f>
        <v>2</v>
      </c>
      <c r="D207" t="str">
        <f>"7"</f>
        <v>7</v>
      </c>
      <c r="E207" t="str">
        <f>"2"</f>
        <v>2</v>
      </c>
      <c r="F207" s="2">
        <v>2676261.86</v>
      </c>
    </row>
    <row r="208" spans="1:6" x14ac:dyDescent="0.25">
      <c r="A208">
        <v>1746</v>
      </c>
      <c r="B208" t="str">
        <f t="shared" si="18"/>
        <v>Начисленные доходы по ценным бумагам, учитываемым по справедливой стоимости через прочий совокупный доход</v>
      </c>
      <c r="C208" t="str">
        <f>"1"</f>
        <v>1</v>
      </c>
      <c r="D208" t="str">
        <f>"1"</f>
        <v>1</v>
      </c>
      <c r="E208" t="str">
        <f>"1"</f>
        <v>1</v>
      </c>
      <c r="F208" s="2">
        <v>4240370150.46</v>
      </c>
    </row>
    <row r="209" spans="1:6" x14ac:dyDescent="0.25">
      <c r="A209">
        <v>1756</v>
      </c>
      <c r="B209" t="str">
        <f>"Начисленные доходы по прочим операциям"</f>
        <v>Начисленные доходы по прочим операциям</v>
      </c>
      <c r="C209" t="str">
        <f>"2"</f>
        <v>2</v>
      </c>
      <c r="D209" t="str">
        <f>"4"</f>
        <v>4</v>
      </c>
      <c r="E209" t="str">
        <f>"3"</f>
        <v>3</v>
      </c>
      <c r="F209" s="2">
        <v>26867938.460000001</v>
      </c>
    </row>
    <row r="210" spans="1:6" x14ac:dyDescent="0.25">
      <c r="A210">
        <v>1793</v>
      </c>
      <c r="B210" t="str">
        <f>"Расходы будущих периодов"</f>
        <v>Расходы будущих периодов</v>
      </c>
      <c r="C210" t="str">
        <f>"1"</f>
        <v>1</v>
      </c>
      <c r="D210" t="str">
        <f>"5"</f>
        <v>5</v>
      </c>
      <c r="E210" t="str">
        <f t="shared" ref="E210:E218" si="19">"1"</f>
        <v>1</v>
      </c>
      <c r="F210" s="2">
        <v>1711591957.0899999</v>
      </c>
    </row>
    <row r="211" spans="1:6" x14ac:dyDescent="0.25">
      <c r="A211">
        <v>1793</v>
      </c>
      <c r="B211" t="str">
        <f>"Расходы будущих периодов"</f>
        <v>Расходы будущих периодов</v>
      </c>
      <c r="C211" t="str">
        <f>"1"</f>
        <v>1</v>
      </c>
      <c r="D211" t="str">
        <f>"8"</f>
        <v>8</v>
      </c>
      <c r="E211" t="str">
        <f t="shared" si="19"/>
        <v>1</v>
      </c>
      <c r="F211" s="2">
        <v>4800</v>
      </c>
    </row>
    <row r="212" spans="1:6" x14ac:dyDescent="0.25">
      <c r="A212">
        <v>1793</v>
      </c>
      <c r="B212" t="str">
        <f>"Расходы будущих периодов"</f>
        <v>Расходы будущих периодов</v>
      </c>
      <c r="C212" t="str">
        <f>"1"</f>
        <v>1</v>
      </c>
      <c r="D212" t="str">
        <f>"9"</f>
        <v>9</v>
      </c>
      <c r="E212" t="str">
        <f t="shared" si="19"/>
        <v>1</v>
      </c>
      <c r="F212" s="2">
        <v>2974345.02</v>
      </c>
    </row>
    <row r="213" spans="1:6" x14ac:dyDescent="0.25">
      <c r="A213">
        <v>1793</v>
      </c>
      <c r="B213" t="str">
        <f>"Расходы будущих периодов"</f>
        <v>Расходы будущих периодов</v>
      </c>
      <c r="C213" t="str">
        <f>"1"</f>
        <v>1</v>
      </c>
      <c r="D213" t="str">
        <f>"7"</f>
        <v>7</v>
      </c>
      <c r="E213" t="str">
        <f t="shared" si="19"/>
        <v>1</v>
      </c>
      <c r="F213" s="2">
        <v>423636555.66000003</v>
      </c>
    </row>
    <row r="214" spans="1:6" x14ac:dyDescent="0.25">
      <c r="A214">
        <v>1793</v>
      </c>
      <c r="B214" t="str">
        <f>"Расходы будущих периодов"</f>
        <v>Расходы будущих периодов</v>
      </c>
      <c r="C214" t="str">
        <f>"2"</f>
        <v>2</v>
      </c>
      <c r="D214" t="str">
        <f>"7"</f>
        <v>7</v>
      </c>
      <c r="E214" t="str">
        <f t="shared" si="19"/>
        <v>1</v>
      </c>
      <c r="F214" s="2">
        <v>79552970.819999993</v>
      </c>
    </row>
    <row r="215" spans="1:6" x14ac:dyDescent="0.25">
      <c r="A215">
        <v>1811</v>
      </c>
      <c r="B215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5" t="str">
        <f>"1"</f>
        <v>1</v>
      </c>
      <c r="D215" t="str">
        <f>""</f>
        <v/>
      </c>
      <c r="E215" t="str">
        <f t="shared" si="19"/>
        <v>1</v>
      </c>
      <c r="F215" s="2">
        <v>127736095.18000001</v>
      </c>
    </row>
    <row r="216" spans="1:6" x14ac:dyDescent="0.25">
      <c r="A216">
        <v>1811</v>
      </c>
      <c r="B216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C216" t="str">
        <f>"2"</f>
        <v>2</v>
      </c>
      <c r="D216" t="str">
        <f>""</f>
        <v/>
      </c>
      <c r="E216" t="str">
        <f t="shared" si="19"/>
        <v>1</v>
      </c>
      <c r="F216" s="2">
        <v>8500.6299999999992</v>
      </c>
    </row>
    <row r="217" spans="1:6" x14ac:dyDescent="0.25">
      <c r="A217">
        <v>1812</v>
      </c>
      <c r="B217" t="str">
        <f>"Начисленные комиссионные доходы за агентские услуги"</f>
        <v>Начисленные комиссионные доходы за агентские услуги</v>
      </c>
      <c r="C217" t="str">
        <f t="shared" ref="C217:C222" si="20">"1"</f>
        <v>1</v>
      </c>
      <c r="D217" t="str">
        <f>""</f>
        <v/>
      </c>
      <c r="E217" t="str">
        <f t="shared" si="19"/>
        <v>1</v>
      </c>
      <c r="F217" s="2">
        <v>3247299.53</v>
      </c>
    </row>
    <row r="218" spans="1:6" x14ac:dyDescent="0.25">
      <c r="A218">
        <v>1815</v>
      </c>
      <c r="B218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C218" t="str">
        <f t="shared" si="20"/>
        <v>1</v>
      </c>
      <c r="D218" t="str">
        <f>""</f>
        <v/>
      </c>
      <c r="E218" t="str">
        <f t="shared" si="19"/>
        <v>1</v>
      </c>
      <c r="F218" s="2">
        <v>39679.300000000003</v>
      </c>
    </row>
    <row r="219" spans="1:6" x14ac:dyDescent="0.25">
      <c r="A219">
        <v>1816</v>
      </c>
      <c r="B21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19" t="str">
        <f t="shared" si="20"/>
        <v>1</v>
      </c>
      <c r="D219" t="str">
        <f>""</f>
        <v/>
      </c>
      <c r="E219" t="str">
        <f>"2"</f>
        <v>2</v>
      </c>
      <c r="F219" s="2">
        <v>31383189.460000001</v>
      </c>
    </row>
    <row r="220" spans="1:6" x14ac:dyDescent="0.25">
      <c r="A220">
        <v>1816</v>
      </c>
      <c r="B220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0" t="str">
        <f t="shared" si="20"/>
        <v>1</v>
      </c>
      <c r="D220" t="str">
        <f>""</f>
        <v/>
      </c>
      <c r="E220" t="str">
        <f>"3"</f>
        <v>3</v>
      </c>
      <c r="F220" s="2">
        <v>2460298.35</v>
      </c>
    </row>
    <row r="221" spans="1:6" x14ac:dyDescent="0.25">
      <c r="A221">
        <v>1816</v>
      </c>
      <c r="B22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221" t="str">
        <f t="shared" si="20"/>
        <v>1</v>
      </c>
      <c r="D221" t="str">
        <f>""</f>
        <v/>
      </c>
      <c r="E221" t="str">
        <f>"1"</f>
        <v>1</v>
      </c>
      <c r="F221" s="2">
        <v>310797703.93000001</v>
      </c>
    </row>
    <row r="222" spans="1:6" x14ac:dyDescent="0.25">
      <c r="A222">
        <v>1817</v>
      </c>
      <c r="B22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2" t="str">
        <f t="shared" si="20"/>
        <v>1</v>
      </c>
      <c r="D222" t="str">
        <f>""</f>
        <v/>
      </c>
      <c r="E222" t="str">
        <f>"1"</f>
        <v>1</v>
      </c>
      <c r="F222" s="2">
        <v>5705637.0599999996</v>
      </c>
    </row>
    <row r="223" spans="1:6" x14ac:dyDescent="0.25">
      <c r="A223">
        <v>1817</v>
      </c>
      <c r="B223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C223" t="str">
        <f>"2"</f>
        <v>2</v>
      </c>
      <c r="D223" t="str">
        <f>""</f>
        <v/>
      </c>
      <c r="E223" t="str">
        <f>"1"</f>
        <v>1</v>
      </c>
      <c r="F223" s="2">
        <v>96913.67</v>
      </c>
    </row>
    <row r="224" spans="1:6" x14ac:dyDescent="0.25">
      <c r="A224">
        <v>1818</v>
      </c>
      <c r="B224" t="str">
        <f>"Начисленные прочие комиссионные доходы"</f>
        <v>Начисленные прочие комиссионные доходы</v>
      </c>
      <c r="C224" t="str">
        <f>"2"</f>
        <v>2</v>
      </c>
      <c r="D224" t="str">
        <f>""</f>
        <v/>
      </c>
      <c r="E224" t="str">
        <f>"3"</f>
        <v>3</v>
      </c>
      <c r="F224" s="2">
        <v>172.8</v>
      </c>
    </row>
    <row r="225" spans="1:6" x14ac:dyDescent="0.25">
      <c r="A225">
        <v>1818</v>
      </c>
      <c r="B225" t="str">
        <f>"Начисленные прочие комиссионные доходы"</f>
        <v>Начисленные прочие комиссионные доходы</v>
      </c>
      <c r="C225" t="str">
        <f>"2"</f>
        <v>2</v>
      </c>
      <c r="D225" t="str">
        <f>""</f>
        <v/>
      </c>
      <c r="E225" t="str">
        <f>"1"</f>
        <v>1</v>
      </c>
      <c r="F225" s="2">
        <v>6657.96</v>
      </c>
    </row>
    <row r="226" spans="1:6" x14ac:dyDescent="0.25">
      <c r="A226">
        <v>1818</v>
      </c>
      <c r="B226" t="str">
        <f>"Начисленные прочие комиссионные доходы"</f>
        <v>Начисленные прочие комиссионные доходы</v>
      </c>
      <c r="C226" t="str">
        <f>"1"</f>
        <v>1</v>
      </c>
      <c r="D226" t="str">
        <f>""</f>
        <v/>
      </c>
      <c r="E226" t="str">
        <f>"2"</f>
        <v>2</v>
      </c>
      <c r="F226" s="2">
        <v>151210.71</v>
      </c>
    </row>
    <row r="227" spans="1:6" x14ac:dyDescent="0.25">
      <c r="A227">
        <v>1818</v>
      </c>
      <c r="B227" t="str">
        <f>"Начисленные прочие комиссионные доходы"</f>
        <v>Начисленные прочие комиссионные доходы</v>
      </c>
      <c r="C227" t="str">
        <f>"1"</f>
        <v>1</v>
      </c>
      <c r="D227" t="str">
        <f>""</f>
        <v/>
      </c>
      <c r="E227" t="str">
        <f>"1"</f>
        <v>1</v>
      </c>
      <c r="F227" s="2">
        <v>414795601.85000002</v>
      </c>
    </row>
    <row r="228" spans="1:6" x14ac:dyDescent="0.25">
      <c r="A228">
        <v>1818</v>
      </c>
      <c r="B228" t="str">
        <f>"Начисленные прочие комиссионные доходы"</f>
        <v>Начисленные прочие комиссионные доходы</v>
      </c>
      <c r="C228" t="str">
        <f>"2"</f>
        <v>2</v>
      </c>
      <c r="D228" t="str">
        <f>""</f>
        <v/>
      </c>
      <c r="E228" t="str">
        <f>"2"</f>
        <v>2</v>
      </c>
      <c r="F228" s="2">
        <v>3280873.28</v>
      </c>
    </row>
    <row r="229" spans="1:6" x14ac:dyDescent="0.25">
      <c r="A229">
        <v>1819</v>
      </c>
      <c r="B229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C229" t="str">
        <f>"1"</f>
        <v>1</v>
      </c>
      <c r="D229" t="str">
        <f>""</f>
        <v/>
      </c>
      <c r="E229" t="str">
        <f>"1"</f>
        <v>1</v>
      </c>
      <c r="F229" s="2">
        <v>4210496.63</v>
      </c>
    </row>
    <row r="230" spans="1:6" x14ac:dyDescent="0.25">
      <c r="A230">
        <v>1821</v>
      </c>
      <c r="B230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C230" t="str">
        <f>"1"</f>
        <v>1</v>
      </c>
      <c r="D230" t="str">
        <f>""</f>
        <v/>
      </c>
      <c r="E230" t="str">
        <f>"1"</f>
        <v>1</v>
      </c>
      <c r="F230" s="2">
        <v>782079.88</v>
      </c>
    </row>
    <row r="231" spans="1:6" x14ac:dyDescent="0.25">
      <c r="A231">
        <v>1822</v>
      </c>
      <c r="B23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1" t="str">
        <f>"2"</f>
        <v>2</v>
      </c>
      <c r="D231" t="str">
        <f>""</f>
        <v/>
      </c>
      <c r="E231" t="str">
        <f>"2"</f>
        <v>2</v>
      </c>
      <c r="F231" s="2">
        <v>10046.11</v>
      </c>
    </row>
    <row r="232" spans="1:6" x14ac:dyDescent="0.25">
      <c r="A232">
        <v>1822</v>
      </c>
      <c r="B23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C232" t="str">
        <f>"1"</f>
        <v>1</v>
      </c>
      <c r="D232" t="str">
        <f>""</f>
        <v/>
      </c>
      <c r="E232" t="str">
        <f>"2"</f>
        <v>2</v>
      </c>
      <c r="F232" s="2">
        <v>8176012.0999999996</v>
      </c>
    </row>
    <row r="233" spans="1:6" x14ac:dyDescent="0.25">
      <c r="A233">
        <v>1825</v>
      </c>
      <c r="B233" t="str">
        <f>"Начисленные комиссионные доходы за услуги по инкассации"</f>
        <v>Начисленные комиссионные доходы за услуги по инкассации</v>
      </c>
      <c r="C233" t="str">
        <f>"1"</f>
        <v>1</v>
      </c>
      <c r="D233" t="str">
        <f>""</f>
        <v/>
      </c>
      <c r="E233" t="str">
        <f t="shared" ref="E233:E239" si="21">"1"</f>
        <v>1</v>
      </c>
      <c r="F233" s="2">
        <v>1059155.8899999999</v>
      </c>
    </row>
    <row r="234" spans="1:6" x14ac:dyDescent="0.25">
      <c r="A234">
        <v>1825</v>
      </c>
      <c r="B234" t="str">
        <f>"Начисленные комиссионные доходы за услуги по инкассации"</f>
        <v>Начисленные комиссионные доходы за услуги по инкассации</v>
      </c>
      <c r="C234" t="str">
        <f>"2"</f>
        <v>2</v>
      </c>
      <c r="D234" t="str">
        <f>""</f>
        <v/>
      </c>
      <c r="E234" t="str">
        <f t="shared" si="21"/>
        <v>1</v>
      </c>
      <c r="F234" s="2">
        <v>42000</v>
      </c>
    </row>
    <row r="235" spans="1:6" x14ac:dyDescent="0.25">
      <c r="A235">
        <v>1831</v>
      </c>
      <c r="B235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5" t="str">
        <f>"2"</f>
        <v>2</v>
      </c>
      <c r="D235" t="str">
        <f>""</f>
        <v/>
      </c>
      <c r="E235" t="str">
        <f t="shared" si="21"/>
        <v>1</v>
      </c>
      <c r="F235" s="2">
        <v>9273.2199999999993</v>
      </c>
    </row>
    <row r="236" spans="1:6" x14ac:dyDescent="0.25">
      <c r="A236">
        <v>1831</v>
      </c>
      <c r="B236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236" t="str">
        <f>"1"</f>
        <v>1</v>
      </c>
      <c r="D236" t="str">
        <f>""</f>
        <v/>
      </c>
      <c r="E236" t="str">
        <f t="shared" si="21"/>
        <v>1</v>
      </c>
      <c r="F236" s="2">
        <v>6942440.0899999999</v>
      </c>
    </row>
    <row r="237" spans="1:6" x14ac:dyDescent="0.25">
      <c r="A237">
        <v>1836</v>
      </c>
      <c r="B237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237" t="str">
        <f>"1"</f>
        <v>1</v>
      </c>
      <c r="D237" t="str">
        <f>""</f>
        <v/>
      </c>
      <c r="E237" t="str">
        <f t="shared" si="21"/>
        <v>1</v>
      </c>
      <c r="F237" s="2">
        <v>14661597.02</v>
      </c>
    </row>
    <row r="238" spans="1:6" x14ac:dyDescent="0.25">
      <c r="A238">
        <v>1837</v>
      </c>
      <c r="B23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38" t="str">
        <f>"2"</f>
        <v>2</v>
      </c>
      <c r="D238" t="str">
        <f>""</f>
        <v/>
      </c>
      <c r="E238" t="str">
        <f t="shared" si="21"/>
        <v>1</v>
      </c>
      <c r="F238" s="2">
        <v>109381.16</v>
      </c>
    </row>
    <row r="239" spans="1:6" x14ac:dyDescent="0.25">
      <c r="A239">
        <v>1837</v>
      </c>
      <c r="B239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239" t="str">
        <f>"1"</f>
        <v>1</v>
      </c>
      <c r="D239" t="str">
        <f>""</f>
        <v/>
      </c>
      <c r="E239" t="str">
        <f t="shared" si="21"/>
        <v>1</v>
      </c>
      <c r="F239" s="2">
        <v>15551075.630000001</v>
      </c>
    </row>
    <row r="240" spans="1:6" x14ac:dyDescent="0.25">
      <c r="A240">
        <v>1838</v>
      </c>
      <c r="B240" t="str">
        <f>"Просроченные прочие комиссионные доходы"</f>
        <v>Просроченные прочие комиссионные доходы</v>
      </c>
      <c r="C240" t="str">
        <f>"2"</f>
        <v>2</v>
      </c>
      <c r="D240" t="str">
        <f>""</f>
        <v/>
      </c>
      <c r="E240" t="str">
        <f>"3"</f>
        <v>3</v>
      </c>
      <c r="F240" s="2">
        <v>14157485.970000001</v>
      </c>
    </row>
    <row r="241" spans="1:6" x14ac:dyDescent="0.25">
      <c r="A241">
        <v>1838</v>
      </c>
      <c r="B241" t="str">
        <f>"Просроченные прочие комиссионные доходы"</f>
        <v>Просроченные прочие комиссионные доходы</v>
      </c>
      <c r="C241" t="str">
        <f>"1"</f>
        <v>1</v>
      </c>
      <c r="D241" t="str">
        <f>""</f>
        <v/>
      </c>
      <c r="E241" t="str">
        <f>"2"</f>
        <v>2</v>
      </c>
      <c r="F241" s="2">
        <v>5166556.09</v>
      </c>
    </row>
    <row r="242" spans="1:6" x14ac:dyDescent="0.25">
      <c r="A242">
        <v>1838</v>
      </c>
      <c r="B242" t="str">
        <f>"Просроченные прочие комиссионные доходы"</f>
        <v>Просроченные прочие комиссионные доходы</v>
      </c>
      <c r="C242" t="str">
        <f>"2"</f>
        <v>2</v>
      </c>
      <c r="D242" t="str">
        <f>""</f>
        <v/>
      </c>
      <c r="E242" t="str">
        <f>"1"</f>
        <v>1</v>
      </c>
      <c r="F242" s="2">
        <v>41368.17</v>
      </c>
    </row>
    <row r="243" spans="1:6" x14ac:dyDescent="0.25">
      <c r="A243">
        <v>1838</v>
      </c>
      <c r="B243" t="str">
        <f>"Просроченные прочие комиссионные доходы"</f>
        <v>Просроченные прочие комиссионные доходы</v>
      </c>
      <c r="C243" t="str">
        <f>"1"</f>
        <v>1</v>
      </c>
      <c r="D243" t="str">
        <f>""</f>
        <v/>
      </c>
      <c r="E243" t="str">
        <f>"1"</f>
        <v>1</v>
      </c>
      <c r="F243" s="2">
        <v>166113223.33000001</v>
      </c>
    </row>
    <row r="244" spans="1:6" x14ac:dyDescent="0.25">
      <c r="A244">
        <v>1839</v>
      </c>
      <c r="B244" t="str">
        <f>"Просроченные комиссионные доходы по профессиональной деятельности на рынке ценных бумаг"</f>
        <v>Просроченные комиссионные доходы по профессиональной деятельности на рынке ценных бумаг</v>
      </c>
      <c r="C244" t="str">
        <f>"1"</f>
        <v>1</v>
      </c>
      <c r="D244" t="str">
        <f>""</f>
        <v/>
      </c>
      <c r="E244" t="str">
        <f>"1"</f>
        <v>1</v>
      </c>
      <c r="F244" s="2">
        <v>6033307.8600000003</v>
      </c>
    </row>
    <row r="245" spans="1:6" x14ac:dyDescent="0.25">
      <c r="A245">
        <v>1841</v>
      </c>
      <c r="B245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245" t="str">
        <f>"1"</f>
        <v>1</v>
      </c>
      <c r="D245" t="str">
        <f>""</f>
        <v/>
      </c>
      <c r="E245" t="str">
        <f>"1"</f>
        <v>1</v>
      </c>
      <c r="F245" s="2">
        <v>829848.25</v>
      </c>
    </row>
    <row r="246" spans="1:6" x14ac:dyDescent="0.25">
      <c r="A246">
        <v>1845</v>
      </c>
      <c r="B246" t="str">
        <f t="shared" ref="B246:B251" si="22"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246" t="str">
        <f>"1"</f>
        <v>1</v>
      </c>
      <c r="D246" t="str">
        <f>""</f>
        <v/>
      </c>
      <c r="E246" t="str">
        <f>"1"</f>
        <v>1</v>
      </c>
      <c r="F246" s="2">
        <v>-313491134.26999998</v>
      </c>
    </row>
    <row r="247" spans="1:6" x14ac:dyDescent="0.25">
      <c r="A247">
        <v>1845</v>
      </c>
      <c r="B247" t="str">
        <f t="shared" si="22"/>
        <v>Резервы (провизии) по начисленным и просроченным комиссионным доходам</v>
      </c>
      <c r="C247" t="str">
        <f>"1"</f>
        <v>1</v>
      </c>
      <c r="D247" t="str">
        <f>""</f>
        <v/>
      </c>
      <c r="E247" t="str">
        <f>"2"</f>
        <v>2</v>
      </c>
      <c r="F247" s="2">
        <v>-5097457.26</v>
      </c>
    </row>
    <row r="248" spans="1:6" x14ac:dyDescent="0.25">
      <c r="A248">
        <v>1845</v>
      </c>
      <c r="B248" t="str">
        <f t="shared" si="22"/>
        <v>Резервы (провизии) по начисленным и просроченным комиссионным доходам</v>
      </c>
      <c r="C248" t="str">
        <f>"2"</f>
        <v>2</v>
      </c>
      <c r="D248" t="str">
        <f>""</f>
        <v/>
      </c>
      <c r="E248" t="str">
        <f>"3"</f>
        <v>3</v>
      </c>
      <c r="F248" s="2">
        <v>-14157486.949999999</v>
      </c>
    </row>
    <row r="249" spans="1:6" x14ac:dyDescent="0.25">
      <c r="A249">
        <v>1845</v>
      </c>
      <c r="B249" t="str">
        <f t="shared" si="22"/>
        <v>Резервы (провизии) по начисленным и просроченным комиссионным доходам</v>
      </c>
      <c r="C249" t="str">
        <f>"2"</f>
        <v>2</v>
      </c>
      <c r="D249" t="str">
        <f>""</f>
        <v/>
      </c>
      <c r="E249" t="str">
        <f>"2"</f>
        <v>2</v>
      </c>
      <c r="F249" s="2">
        <v>-20199.97</v>
      </c>
    </row>
    <row r="250" spans="1:6" x14ac:dyDescent="0.25">
      <c r="A250">
        <v>1845</v>
      </c>
      <c r="B250" t="str">
        <f t="shared" si="22"/>
        <v>Резервы (провизии) по начисленным и просроченным комиссионным доходам</v>
      </c>
      <c r="C250" t="str">
        <f>"1"</f>
        <v>1</v>
      </c>
      <c r="D250" t="str">
        <f>""</f>
        <v/>
      </c>
      <c r="E250" t="str">
        <f>"3"</f>
        <v>3</v>
      </c>
      <c r="F250" s="2">
        <v>-14914.31</v>
      </c>
    </row>
    <row r="251" spans="1:6" x14ac:dyDescent="0.25">
      <c r="A251">
        <v>1845</v>
      </c>
      <c r="B251" t="str">
        <f t="shared" si="22"/>
        <v>Резервы (провизии) по начисленным и просроченным комиссионным доходам</v>
      </c>
      <c r="C251" t="str">
        <f>"2"</f>
        <v>2</v>
      </c>
      <c r="D251" t="str">
        <f>""</f>
        <v/>
      </c>
      <c r="E251" t="str">
        <f>"1"</f>
        <v>1</v>
      </c>
      <c r="F251" s="2">
        <v>-145375.79999999999</v>
      </c>
    </row>
    <row r="252" spans="1:6" x14ac:dyDescent="0.25">
      <c r="A252">
        <v>1851</v>
      </c>
      <c r="B25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52" t="str">
        <f>"1"</f>
        <v>1</v>
      </c>
      <c r="D252" t="str">
        <f>"1"</f>
        <v>1</v>
      </c>
      <c r="E252" t="str">
        <f>"1"</f>
        <v>1</v>
      </c>
      <c r="F252" s="2">
        <v>718874364.30999994</v>
      </c>
    </row>
    <row r="253" spans="1:6" x14ac:dyDescent="0.25">
      <c r="A253">
        <v>1852</v>
      </c>
      <c r="B25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C253" t="str">
        <f>"1"</f>
        <v>1</v>
      </c>
      <c r="D253" t="str">
        <f>"5"</f>
        <v>5</v>
      </c>
      <c r="E253" t="str">
        <f>"2"</f>
        <v>2</v>
      </c>
      <c r="F253" s="2">
        <v>6520180000</v>
      </c>
    </row>
    <row r="254" spans="1:6" x14ac:dyDescent="0.25">
      <c r="A254">
        <v>1854</v>
      </c>
      <c r="B254" t="str">
        <f>"Расчеты с работниками"</f>
        <v>Расчеты с работниками</v>
      </c>
      <c r="C254" t="str">
        <f>""</f>
        <v/>
      </c>
      <c r="D254" t="str">
        <f>""</f>
        <v/>
      </c>
      <c r="E254" t="str">
        <f>""</f>
        <v/>
      </c>
      <c r="F254" s="2">
        <v>12236492.16</v>
      </c>
    </row>
    <row r="255" spans="1:6" x14ac:dyDescent="0.25">
      <c r="A255">
        <v>1855</v>
      </c>
      <c r="B255" t="str">
        <f>"Дебиторы по документарным расчетам"</f>
        <v>Дебиторы по документарным расчетам</v>
      </c>
      <c r="C255" t="str">
        <f>"1"</f>
        <v>1</v>
      </c>
      <c r="D255" t="str">
        <f>"4"</f>
        <v>4</v>
      </c>
      <c r="E255" t="str">
        <f>"2"</f>
        <v>2</v>
      </c>
      <c r="F255" s="2">
        <v>7164330314.6899996</v>
      </c>
    </row>
    <row r="256" spans="1:6" x14ac:dyDescent="0.25">
      <c r="A256">
        <v>1856</v>
      </c>
      <c r="B256" t="str">
        <f>"Дебиторы по капитальным вложениям"</f>
        <v>Дебиторы по капитальным вложениям</v>
      </c>
      <c r="C256" t="str">
        <f>"1"</f>
        <v>1</v>
      </c>
      <c r="D256" t="str">
        <f>"9"</f>
        <v>9</v>
      </c>
      <c r="E256" t="str">
        <f t="shared" ref="E256:E264" si="23">"1"</f>
        <v>1</v>
      </c>
      <c r="F256" s="2">
        <v>15267291.039999999</v>
      </c>
    </row>
    <row r="257" spans="1:6" x14ac:dyDescent="0.25">
      <c r="A257">
        <v>1856</v>
      </c>
      <c r="B257" t="str">
        <f>"Дебиторы по капитальным вложениям"</f>
        <v>Дебиторы по капитальным вложениям</v>
      </c>
      <c r="C257" t="str">
        <f>"2"</f>
        <v>2</v>
      </c>
      <c r="D257" t="str">
        <f>"7"</f>
        <v>7</v>
      </c>
      <c r="E257" t="str">
        <f t="shared" si="23"/>
        <v>1</v>
      </c>
      <c r="F257" s="2">
        <v>202186125.94999999</v>
      </c>
    </row>
    <row r="258" spans="1:6" x14ac:dyDescent="0.25">
      <c r="A258">
        <v>1856</v>
      </c>
      <c r="B258" t="str">
        <f>"Дебиторы по капитальным вложениям"</f>
        <v>Дебиторы по капитальным вложениям</v>
      </c>
      <c r="C258" t="str">
        <f t="shared" ref="C258:C263" si="24">"1"</f>
        <v>1</v>
      </c>
      <c r="D258" t="str">
        <f>"7"</f>
        <v>7</v>
      </c>
      <c r="E258" t="str">
        <f t="shared" si="23"/>
        <v>1</v>
      </c>
      <c r="F258" s="2">
        <v>309005998.5</v>
      </c>
    </row>
    <row r="259" spans="1:6" x14ac:dyDescent="0.25">
      <c r="A259">
        <v>1860</v>
      </c>
      <c r="B259" t="str">
        <f t="shared" ref="B259:B271" si="25">"Прочие дебиторы по банковской деятельности"</f>
        <v>Прочие дебиторы по банковской деятельности</v>
      </c>
      <c r="C259" t="str">
        <f t="shared" si="24"/>
        <v>1</v>
      </c>
      <c r="D259" t="str">
        <f>"6"</f>
        <v>6</v>
      </c>
      <c r="E259" t="str">
        <f t="shared" si="23"/>
        <v>1</v>
      </c>
      <c r="F259" s="2">
        <v>109657.64</v>
      </c>
    </row>
    <row r="260" spans="1:6" x14ac:dyDescent="0.25">
      <c r="A260">
        <v>1860</v>
      </c>
      <c r="B260" t="str">
        <f t="shared" si="25"/>
        <v>Прочие дебиторы по банковской деятельности</v>
      </c>
      <c r="C260" t="str">
        <f t="shared" si="24"/>
        <v>1</v>
      </c>
      <c r="D260" t="str">
        <f>"4"</f>
        <v>4</v>
      </c>
      <c r="E260" t="str">
        <f t="shared" si="23"/>
        <v>1</v>
      </c>
      <c r="F260" s="2">
        <v>543421</v>
      </c>
    </row>
    <row r="261" spans="1:6" x14ac:dyDescent="0.25">
      <c r="A261">
        <v>1860</v>
      </c>
      <c r="B261" t="str">
        <f t="shared" si="25"/>
        <v>Прочие дебиторы по банковской деятельности</v>
      </c>
      <c r="C261" t="str">
        <f t="shared" si="24"/>
        <v>1</v>
      </c>
      <c r="D261" t="str">
        <f>"1"</f>
        <v>1</v>
      </c>
      <c r="E261" t="str">
        <f t="shared" si="23"/>
        <v>1</v>
      </c>
      <c r="F261" s="2">
        <v>161393.51</v>
      </c>
    </row>
    <row r="262" spans="1:6" x14ac:dyDescent="0.25">
      <c r="A262">
        <v>1860</v>
      </c>
      <c r="B262" t="str">
        <f t="shared" si="25"/>
        <v>Прочие дебиторы по банковской деятельности</v>
      </c>
      <c r="C262" t="str">
        <f t="shared" si="24"/>
        <v>1</v>
      </c>
      <c r="D262" t="str">
        <f>"8"</f>
        <v>8</v>
      </c>
      <c r="E262" t="str">
        <f t="shared" si="23"/>
        <v>1</v>
      </c>
      <c r="F262" s="2">
        <v>2131868.94</v>
      </c>
    </row>
    <row r="263" spans="1:6" x14ac:dyDescent="0.25">
      <c r="A263">
        <v>1860</v>
      </c>
      <c r="B263" t="str">
        <f t="shared" si="25"/>
        <v>Прочие дебиторы по банковской деятельности</v>
      </c>
      <c r="C263" t="str">
        <f t="shared" si="24"/>
        <v>1</v>
      </c>
      <c r="D263" t="str">
        <f>"9"</f>
        <v>9</v>
      </c>
      <c r="E263" t="str">
        <f t="shared" si="23"/>
        <v>1</v>
      </c>
      <c r="F263" s="2">
        <v>1380685699.3399999</v>
      </c>
    </row>
    <row r="264" spans="1:6" x14ac:dyDescent="0.25">
      <c r="A264">
        <v>1860</v>
      </c>
      <c r="B264" t="str">
        <f t="shared" si="25"/>
        <v>Прочие дебиторы по банковской деятельности</v>
      </c>
      <c r="C264" t="str">
        <f>"2"</f>
        <v>2</v>
      </c>
      <c r="D264" t="str">
        <f>"5"</f>
        <v>5</v>
      </c>
      <c r="E264" t="str">
        <f t="shared" si="23"/>
        <v>1</v>
      </c>
      <c r="F264" s="2">
        <v>900470.4</v>
      </c>
    </row>
    <row r="265" spans="1:6" x14ac:dyDescent="0.25">
      <c r="A265">
        <v>1860</v>
      </c>
      <c r="B265" t="str">
        <f t="shared" si="25"/>
        <v>Прочие дебиторы по банковской деятельности</v>
      </c>
      <c r="C265" t="str">
        <f>"1"</f>
        <v>1</v>
      </c>
      <c r="D265" t="str">
        <f>"9"</f>
        <v>9</v>
      </c>
      <c r="E265" t="str">
        <f>"2"</f>
        <v>2</v>
      </c>
      <c r="F265" s="2">
        <v>21718815.859999999</v>
      </c>
    </row>
    <row r="266" spans="1:6" x14ac:dyDescent="0.25">
      <c r="A266">
        <v>1860</v>
      </c>
      <c r="B266" t="str">
        <f t="shared" si="25"/>
        <v>Прочие дебиторы по банковской деятельности</v>
      </c>
      <c r="C266" t="str">
        <f>"2"</f>
        <v>2</v>
      </c>
      <c r="D266" t="str">
        <f>"9"</f>
        <v>9</v>
      </c>
      <c r="E266" t="str">
        <f>"2"</f>
        <v>2</v>
      </c>
      <c r="F266" s="2">
        <v>57634.73</v>
      </c>
    </row>
    <row r="267" spans="1:6" x14ac:dyDescent="0.25">
      <c r="A267">
        <v>1860</v>
      </c>
      <c r="B267" t="str">
        <f t="shared" si="25"/>
        <v>Прочие дебиторы по банковской деятельности</v>
      </c>
      <c r="C267" t="str">
        <f>"1"</f>
        <v>1</v>
      </c>
      <c r="D267" t="str">
        <f>"5"</f>
        <v>5</v>
      </c>
      <c r="E267" t="str">
        <f>"1"</f>
        <v>1</v>
      </c>
      <c r="F267" s="2">
        <v>29301721.18</v>
      </c>
    </row>
    <row r="268" spans="1:6" x14ac:dyDescent="0.25">
      <c r="A268">
        <v>1860</v>
      </c>
      <c r="B268" t="str">
        <f t="shared" si="25"/>
        <v>Прочие дебиторы по банковской деятельности</v>
      </c>
      <c r="C268" t="str">
        <f>"2"</f>
        <v>2</v>
      </c>
      <c r="D268" t="str">
        <f>"4"</f>
        <v>4</v>
      </c>
      <c r="E268" t="str">
        <f>"2"</f>
        <v>2</v>
      </c>
      <c r="F268" s="2">
        <v>5086640</v>
      </c>
    </row>
    <row r="269" spans="1:6" x14ac:dyDescent="0.25">
      <c r="A269">
        <v>1860</v>
      </c>
      <c r="B269" t="str">
        <f t="shared" si="25"/>
        <v>Прочие дебиторы по банковской деятельности</v>
      </c>
      <c r="C269" t="str">
        <f>"2"</f>
        <v>2</v>
      </c>
      <c r="D269" t="str">
        <f>"9"</f>
        <v>9</v>
      </c>
      <c r="E269" t="str">
        <f>"1"</f>
        <v>1</v>
      </c>
      <c r="F269" s="2">
        <v>1238320.55</v>
      </c>
    </row>
    <row r="270" spans="1:6" x14ac:dyDescent="0.25">
      <c r="A270">
        <v>1860</v>
      </c>
      <c r="B270" t="str">
        <f t="shared" si="25"/>
        <v>Прочие дебиторы по банковской деятельности</v>
      </c>
      <c r="C270" t="str">
        <f>"1"</f>
        <v>1</v>
      </c>
      <c r="D270" t="str">
        <f>"7"</f>
        <v>7</v>
      </c>
      <c r="E270" t="str">
        <f>"1"</f>
        <v>1</v>
      </c>
      <c r="F270" s="2">
        <v>1937417870.1199999</v>
      </c>
    </row>
    <row r="271" spans="1:6" x14ac:dyDescent="0.25">
      <c r="A271">
        <v>1860</v>
      </c>
      <c r="B271" t="str">
        <f t="shared" si="25"/>
        <v>Прочие дебиторы по банковской деятельности</v>
      </c>
      <c r="C271" t="str">
        <f>"2"</f>
        <v>2</v>
      </c>
      <c r="D271" t="str">
        <f>"7"</f>
        <v>7</v>
      </c>
      <c r="E271" t="str">
        <f>"3"</f>
        <v>3</v>
      </c>
      <c r="F271" s="2">
        <v>43997519.520000003</v>
      </c>
    </row>
    <row r="272" spans="1:6" x14ac:dyDescent="0.25">
      <c r="A272">
        <v>1861</v>
      </c>
      <c r="B272" t="str">
        <f>"Дебиторы по гарантиям"</f>
        <v>Дебиторы по гарантиям</v>
      </c>
      <c r="C272" t="str">
        <f t="shared" ref="C272:C278" si="26">"1"</f>
        <v>1</v>
      </c>
      <c r="D272" t="str">
        <f>"7"</f>
        <v>7</v>
      </c>
      <c r="E272" t="str">
        <f t="shared" ref="E272:E281" si="27">"1"</f>
        <v>1</v>
      </c>
      <c r="F272" s="2">
        <v>1115462346</v>
      </c>
    </row>
    <row r="273" spans="1:6" x14ac:dyDescent="0.25">
      <c r="A273">
        <v>1867</v>
      </c>
      <c r="B273" t="str">
        <f t="shared" ref="B273:B279" si="28">"Прочие дебиторы по неосновной деятельности"</f>
        <v>Прочие дебиторы по неосновной деятельности</v>
      </c>
      <c r="C273" t="str">
        <f t="shared" si="26"/>
        <v>1</v>
      </c>
      <c r="D273" t="str">
        <f>"1"</f>
        <v>1</v>
      </c>
      <c r="E273" t="str">
        <f t="shared" si="27"/>
        <v>1</v>
      </c>
      <c r="F273" s="2">
        <v>5407</v>
      </c>
    </row>
    <row r="274" spans="1:6" x14ac:dyDescent="0.25">
      <c r="A274">
        <v>1867</v>
      </c>
      <c r="B274" t="str">
        <f t="shared" si="28"/>
        <v>Прочие дебиторы по неосновной деятельности</v>
      </c>
      <c r="C274" t="str">
        <f t="shared" si="26"/>
        <v>1</v>
      </c>
      <c r="D274" t="str">
        <f>"6"</f>
        <v>6</v>
      </c>
      <c r="E274" t="str">
        <f t="shared" si="27"/>
        <v>1</v>
      </c>
      <c r="F274" s="2">
        <v>928833.93</v>
      </c>
    </row>
    <row r="275" spans="1:6" x14ac:dyDescent="0.25">
      <c r="A275">
        <v>1867</v>
      </c>
      <c r="B275" t="str">
        <f t="shared" si="28"/>
        <v>Прочие дебиторы по неосновной деятельности</v>
      </c>
      <c r="C275" t="str">
        <f t="shared" si="26"/>
        <v>1</v>
      </c>
      <c r="D275" t="str">
        <f>"8"</f>
        <v>8</v>
      </c>
      <c r="E275" t="str">
        <f t="shared" si="27"/>
        <v>1</v>
      </c>
      <c r="F275" s="2">
        <v>249620</v>
      </c>
    </row>
    <row r="276" spans="1:6" x14ac:dyDescent="0.25">
      <c r="A276">
        <v>1867</v>
      </c>
      <c r="B276" t="str">
        <f t="shared" si="28"/>
        <v>Прочие дебиторы по неосновной деятельности</v>
      </c>
      <c r="C276" t="str">
        <f t="shared" si="26"/>
        <v>1</v>
      </c>
      <c r="D276" t="str">
        <f>"5"</f>
        <v>5</v>
      </c>
      <c r="E276" t="str">
        <f t="shared" si="27"/>
        <v>1</v>
      </c>
      <c r="F276" s="2">
        <v>3069489.28</v>
      </c>
    </row>
    <row r="277" spans="1:6" x14ac:dyDescent="0.25">
      <c r="A277">
        <v>1867</v>
      </c>
      <c r="B277" t="str">
        <f t="shared" si="28"/>
        <v>Прочие дебиторы по неосновной деятельности</v>
      </c>
      <c r="C277" t="str">
        <f t="shared" si="26"/>
        <v>1</v>
      </c>
      <c r="D277" t="str">
        <f>"7"</f>
        <v>7</v>
      </c>
      <c r="E277" t="str">
        <f t="shared" si="27"/>
        <v>1</v>
      </c>
      <c r="F277" s="2">
        <v>423999349.85000002</v>
      </c>
    </row>
    <row r="278" spans="1:6" x14ac:dyDescent="0.25">
      <c r="A278">
        <v>1867</v>
      </c>
      <c r="B278" t="str">
        <f t="shared" si="28"/>
        <v>Прочие дебиторы по неосновной деятельности</v>
      </c>
      <c r="C278" t="str">
        <f t="shared" si="26"/>
        <v>1</v>
      </c>
      <c r="D278" t="str">
        <f>"9"</f>
        <v>9</v>
      </c>
      <c r="E278" t="str">
        <f t="shared" si="27"/>
        <v>1</v>
      </c>
      <c r="F278" s="2">
        <v>84974841.540000007</v>
      </c>
    </row>
    <row r="279" spans="1:6" x14ac:dyDescent="0.25">
      <c r="A279">
        <v>1867</v>
      </c>
      <c r="B279" t="str">
        <f t="shared" si="28"/>
        <v>Прочие дебиторы по неосновной деятельности</v>
      </c>
      <c r="C279" t="str">
        <f>"2"</f>
        <v>2</v>
      </c>
      <c r="D279" t="str">
        <f>"7"</f>
        <v>7</v>
      </c>
      <c r="E279" t="str">
        <f t="shared" si="27"/>
        <v>1</v>
      </c>
      <c r="F279" s="2">
        <v>84655698.930000007</v>
      </c>
    </row>
    <row r="280" spans="1:6" x14ac:dyDescent="0.25">
      <c r="A280">
        <v>1870</v>
      </c>
      <c r="B280" t="str">
        <f>"Прочие транзитные счета"</f>
        <v>Прочие транзитные счета</v>
      </c>
      <c r="C280" t="str">
        <f>"1"</f>
        <v>1</v>
      </c>
      <c r="D280" t="str">
        <f>"4"</f>
        <v>4</v>
      </c>
      <c r="E280" t="str">
        <f t="shared" si="27"/>
        <v>1</v>
      </c>
      <c r="F280" s="2">
        <v>48599778.200000003</v>
      </c>
    </row>
    <row r="281" spans="1:6" x14ac:dyDescent="0.25">
      <c r="A281">
        <v>1870</v>
      </c>
      <c r="B281" t="str">
        <f>"Прочие транзитные счета"</f>
        <v>Прочие транзитные счета</v>
      </c>
      <c r="C281" t="str">
        <f>"1"</f>
        <v>1</v>
      </c>
      <c r="D281" t="str">
        <f>"9"</f>
        <v>9</v>
      </c>
      <c r="E281" t="str">
        <f t="shared" si="27"/>
        <v>1</v>
      </c>
      <c r="F281" s="2">
        <v>12946076653.1</v>
      </c>
    </row>
    <row r="282" spans="1:6" x14ac:dyDescent="0.25">
      <c r="A282">
        <v>1870</v>
      </c>
      <c r="B282" t="str">
        <f>"Прочие транзитные счета"</f>
        <v>Прочие транзитные счета</v>
      </c>
      <c r="C282" t="str">
        <f>"1"</f>
        <v>1</v>
      </c>
      <c r="D282" t="str">
        <f>"9"</f>
        <v>9</v>
      </c>
      <c r="E282" t="str">
        <f>"2"</f>
        <v>2</v>
      </c>
      <c r="F282" s="2">
        <v>6326662.3099999996</v>
      </c>
    </row>
    <row r="283" spans="1:6" x14ac:dyDescent="0.25">
      <c r="A283">
        <v>1870</v>
      </c>
      <c r="B283" t="str">
        <f>"Прочие транзитные счета"</f>
        <v>Прочие транзитные счета</v>
      </c>
      <c r="C283" t="str">
        <f>"1"</f>
        <v>1</v>
      </c>
      <c r="D283" t="str">
        <f>"9"</f>
        <v>9</v>
      </c>
      <c r="E283" t="str">
        <f>"3"</f>
        <v>3</v>
      </c>
      <c r="F283" s="2">
        <v>1574.89</v>
      </c>
    </row>
    <row r="284" spans="1:6" x14ac:dyDescent="0.25">
      <c r="A284">
        <v>1877</v>
      </c>
      <c r="B284" t="str">
        <f t="shared" ref="B284:B291" si="2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284" t="str">
        <f>"2"</f>
        <v>2</v>
      </c>
      <c r="D284" t="str">
        <f>"9"</f>
        <v>9</v>
      </c>
      <c r="E284" t="str">
        <f>"1"</f>
        <v>1</v>
      </c>
      <c r="F284" s="2">
        <v>-1068001.68</v>
      </c>
    </row>
    <row r="285" spans="1:6" x14ac:dyDescent="0.25">
      <c r="A285">
        <v>1877</v>
      </c>
      <c r="B285" t="str">
        <f t="shared" si="29"/>
        <v>Резервы (провизии) по дебиторской задолженности, связанной с банковской деятельностью</v>
      </c>
      <c r="C285" t="str">
        <f>"1"</f>
        <v>1</v>
      </c>
      <c r="D285" t="str">
        <f>"9"</f>
        <v>9</v>
      </c>
      <c r="E285" t="str">
        <f>"1"</f>
        <v>1</v>
      </c>
      <c r="F285" s="2">
        <v>-1302845736.54</v>
      </c>
    </row>
    <row r="286" spans="1:6" x14ac:dyDescent="0.25">
      <c r="A286">
        <v>1877</v>
      </c>
      <c r="B286" t="str">
        <f t="shared" si="29"/>
        <v>Резервы (провизии) по дебиторской задолженности, связанной с банковской деятельностью</v>
      </c>
      <c r="C286" t="str">
        <f>"1"</f>
        <v>1</v>
      </c>
      <c r="D286" t="str">
        <f>"5"</f>
        <v>5</v>
      </c>
      <c r="E286" t="str">
        <f>"1"</f>
        <v>1</v>
      </c>
      <c r="F286" s="2">
        <v>-1346782</v>
      </c>
    </row>
    <row r="287" spans="1:6" x14ac:dyDescent="0.25">
      <c r="A287">
        <v>1877</v>
      </c>
      <c r="B287" t="str">
        <f t="shared" si="29"/>
        <v>Резервы (провизии) по дебиторской задолженности, связанной с банковской деятельностью</v>
      </c>
      <c r="C287" t="str">
        <f>"2"</f>
        <v>2</v>
      </c>
      <c r="D287" t="str">
        <f>"7"</f>
        <v>7</v>
      </c>
      <c r="E287" t="str">
        <f>"3"</f>
        <v>3</v>
      </c>
      <c r="F287" s="2">
        <v>-43421519.520000003</v>
      </c>
    </row>
    <row r="288" spans="1:6" x14ac:dyDescent="0.25">
      <c r="A288">
        <v>1877</v>
      </c>
      <c r="B288" t="str">
        <f t="shared" si="29"/>
        <v>Резервы (провизии) по дебиторской задолженности, связанной с банковской деятельностью</v>
      </c>
      <c r="C288" t="str">
        <f>"2"</f>
        <v>2</v>
      </c>
      <c r="D288" t="str">
        <f>"7"</f>
        <v>7</v>
      </c>
      <c r="E288" t="str">
        <f>"1"</f>
        <v>1</v>
      </c>
      <c r="F288" s="2">
        <v>-150957000.02000001</v>
      </c>
    </row>
    <row r="289" spans="1:6" x14ac:dyDescent="0.25">
      <c r="A289">
        <v>1877</v>
      </c>
      <c r="B289" t="str">
        <f t="shared" si="29"/>
        <v>Резервы (провизии) по дебиторской задолженности, связанной с банковской деятельностью</v>
      </c>
      <c r="C289" t="str">
        <f>"2"</f>
        <v>2</v>
      </c>
      <c r="D289" t="str">
        <f>"9"</f>
        <v>9</v>
      </c>
      <c r="E289" t="str">
        <f>"2"</f>
        <v>2</v>
      </c>
      <c r="F289" s="2">
        <v>-53058.54</v>
      </c>
    </row>
    <row r="290" spans="1:6" x14ac:dyDescent="0.25">
      <c r="A290">
        <v>1877</v>
      </c>
      <c r="B290" t="str">
        <f t="shared" si="29"/>
        <v>Резервы (провизии) по дебиторской задолженности, связанной с банковской деятельностью</v>
      </c>
      <c r="C290" t="str">
        <f>"1"</f>
        <v>1</v>
      </c>
      <c r="D290" t="str">
        <f>"7"</f>
        <v>7</v>
      </c>
      <c r="E290" t="str">
        <f>"1"</f>
        <v>1</v>
      </c>
      <c r="F290" s="2">
        <v>-2620543445.3899999</v>
      </c>
    </row>
    <row r="291" spans="1:6" x14ac:dyDescent="0.25">
      <c r="A291">
        <v>1877</v>
      </c>
      <c r="B291" t="str">
        <f t="shared" si="29"/>
        <v>Резервы (провизии) по дебиторской задолженности, связанной с банковской деятельностью</v>
      </c>
      <c r="C291" t="str">
        <f>"1"</f>
        <v>1</v>
      </c>
      <c r="D291" t="str">
        <f>"9"</f>
        <v>9</v>
      </c>
      <c r="E291" t="str">
        <f>"2"</f>
        <v>2</v>
      </c>
      <c r="F291" s="2">
        <v>-10851473.199999999</v>
      </c>
    </row>
    <row r="292" spans="1:6" x14ac:dyDescent="0.25">
      <c r="A292">
        <v>1878</v>
      </c>
      <c r="B29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2" t="str">
        <f>"1"</f>
        <v>1</v>
      </c>
      <c r="D292" t="str">
        <f>"7"</f>
        <v>7</v>
      </c>
      <c r="E292" t="str">
        <f t="shared" ref="E292:E299" si="30">"1"</f>
        <v>1</v>
      </c>
      <c r="F292" s="2">
        <v>-1313321.6000000001</v>
      </c>
    </row>
    <row r="293" spans="1:6" x14ac:dyDescent="0.25">
      <c r="A293">
        <v>1878</v>
      </c>
      <c r="B29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3" t="str">
        <f>"2"</f>
        <v>2</v>
      </c>
      <c r="D293" t="str">
        <f>"7"</f>
        <v>7</v>
      </c>
      <c r="E293" t="str">
        <f t="shared" si="30"/>
        <v>1</v>
      </c>
      <c r="F293" s="2">
        <v>-4662500</v>
      </c>
    </row>
    <row r="294" spans="1:6" x14ac:dyDescent="0.25">
      <c r="A294">
        <v>1878</v>
      </c>
      <c r="B29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294" t="str">
        <f>"1"</f>
        <v>1</v>
      </c>
      <c r="D294" t="str">
        <f>"9"</f>
        <v>9</v>
      </c>
      <c r="E294" t="str">
        <f t="shared" si="30"/>
        <v>1</v>
      </c>
      <c r="F294" s="2">
        <v>-24548547.170000002</v>
      </c>
    </row>
    <row r="295" spans="1:6" x14ac:dyDescent="0.25">
      <c r="A295">
        <v>1879</v>
      </c>
      <c r="B295" t="str">
        <f>"Начисленная неустойка (штраф, пеня)"</f>
        <v>Начисленная неустойка (штраф, пеня)</v>
      </c>
      <c r="C295" t="str">
        <f>"1"</f>
        <v>1</v>
      </c>
      <c r="D295" t="str">
        <f>"7"</f>
        <v>7</v>
      </c>
      <c r="E295" t="str">
        <f t="shared" si="30"/>
        <v>1</v>
      </c>
      <c r="F295" s="2">
        <v>822769834.24000001</v>
      </c>
    </row>
    <row r="296" spans="1:6" x14ac:dyDescent="0.25">
      <c r="A296">
        <v>1879</v>
      </c>
      <c r="B296" t="str">
        <f>"Начисленная неустойка (штраф, пеня)"</f>
        <v>Начисленная неустойка (штраф, пеня)</v>
      </c>
      <c r="C296" t="str">
        <f>"1"</f>
        <v>1</v>
      </c>
      <c r="D296" t="str">
        <f>"9"</f>
        <v>9</v>
      </c>
      <c r="E296" t="str">
        <f t="shared" si="30"/>
        <v>1</v>
      </c>
      <c r="F296" s="2">
        <v>386413509.81</v>
      </c>
    </row>
    <row r="297" spans="1:6" x14ac:dyDescent="0.25">
      <c r="A297">
        <v>1879</v>
      </c>
      <c r="B297" t="str">
        <f>"Начисленная неустойка (штраф, пеня)"</f>
        <v>Начисленная неустойка (штраф, пеня)</v>
      </c>
      <c r="C297" t="str">
        <f>"2"</f>
        <v>2</v>
      </c>
      <c r="D297" t="str">
        <f>"7"</f>
        <v>7</v>
      </c>
      <c r="E297" t="str">
        <f t="shared" si="30"/>
        <v>1</v>
      </c>
      <c r="F297" s="2">
        <v>150957000.02000001</v>
      </c>
    </row>
    <row r="298" spans="1:6" x14ac:dyDescent="0.25">
      <c r="A298">
        <v>1879</v>
      </c>
      <c r="B298" t="str">
        <f>"Начисленная неустойка (штраф, пеня)"</f>
        <v>Начисленная неустойка (штраф, пеня)</v>
      </c>
      <c r="C298" t="str">
        <f>"2"</f>
        <v>2</v>
      </c>
      <c r="D298" t="str">
        <f>"9"</f>
        <v>9</v>
      </c>
      <c r="E298" t="str">
        <f t="shared" si="30"/>
        <v>1</v>
      </c>
      <c r="F298" s="2">
        <v>603947.78</v>
      </c>
    </row>
    <row r="299" spans="1:6" x14ac:dyDescent="0.25">
      <c r="A299">
        <v>1892</v>
      </c>
      <c r="B299" t="str">
        <f>"Требования по операциям форвард"</f>
        <v>Требования по операциям форвард</v>
      </c>
      <c r="C299" t="str">
        <f>"1"</f>
        <v>1</v>
      </c>
      <c r="D299" t="str">
        <f>"7"</f>
        <v>7</v>
      </c>
      <c r="E299" t="str">
        <f t="shared" si="30"/>
        <v>1</v>
      </c>
      <c r="F299" s="2">
        <v>3578145.81</v>
      </c>
    </row>
    <row r="300" spans="1:6" x14ac:dyDescent="0.25">
      <c r="A300">
        <v>1894</v>
      </c>
      <c r="B300" t="str">
        <f>"Требования по операциям спот"</f>
        <v>Требования по операциям спот</v>
      </c>
      <c r="C300" t="str">
        <f>"1"</f>
        <v>1</v>
      </c>
      <c r="D300" t="str">
        <f>"5"</f>
        <v>5</v>
      </c>
      <c r="E300" t="str">
        <f>"2"</f>
        <v>2</v>
      </c>
      <c r="F300" s="2">
        <v>6045200000</v>
      </c>
    </row>
    <row r="301" spans="1:6" x14ac:dyDescent="0.25">
      <c r="A301">
        <v>1895</v>
      </c>
      <c r="B301" t="str">
        <f>"Требования по операциям своп"</f>
        <v>Требования по операциям своп</v>
      </c>
      <c r="C301" t="str">
        <f>"1"</f>
        <v>1</v>
      </c>
      <c r="D301" t="str">
        <f>"5"</f>
        <v>5</v>
      </c>
      <c r="E301" t="str">
        <f>"1"</f>
        <v>1</v>
      </c>
      <c r="F301" s="2">
        <v>15322030</v>
      </c>
    </row>
    <row r="302" spans="1:6" x14ac:dyDescent="0.25">
      <c r="A302">
        <v>2013</v>
      </c>
      <c r="B302" t="str">
        <f>"Корреспондентские счета других банков"</f>
        <v>Корреспондентские счета других банков</v>
      </c>
      <c r="C302" t="str">
        <f>"2"</f>
        <v>2</v>
      </c>
      <c r="D302" t="str">
        <f>"4"</f>
        <v>4</v>
      </c>
      <c r="E302" t="str">
        <f>"1"</f>
        <v>1</v>
      </c>
      <c r="F302" s="2">
        <v>78220483.609999999</v>
      </c>
    </row>
    <row r="303" spans="1:6" x14ac:dyDescent="0.25">
      <c r="A303">
        <v>2013</v>
      </c>
      <c r="B303" t="str">
        <f>"Корреспондентские счета других банков"</f>
        <v>Корреспондентские счета других банков</v>
      </c>
      <c r="C303" t="str">
        <f>"2"</f>
        <v>2</v>
      </c>
      <c r="D303" t="str">
        <f>"4"</f>
        <v>4</v>
      </c>
      <c r="E303" t="str">
        <f>"2"</f>
        <v>2</v>
      </c>
      <c r="F303" s="2">
        <v>488070480.25</v>
      </c>
    </row>
    <row r="304" spans="1:6" x14ac:dyDescent="0.25">
      <c r="A304">
        <v>2014</v>
      </c>
      <c r="B304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C304" t="str">
        <f t="shared" ref="C304:C315" si="31">"1"</f>
        <v>1</v>
      </c>
      <c r="D304" t="str">
        <f>"6"</f>
        <v>6</v>
      </c>
      <c r="E304" t="str">
        <f>"2"</f>
        <v>2</v>
      </c>
      <c r="F304" s="2">
        <v>19534.650000000001</v>
      </c>
    </row>
    <row r="305" spans="1:6" x14ac:dyDescent="0.25">
      <c r="A305">
        <v>2036</v>
      </c>
      <c r="B305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305" t="str">
        <f t="shared" si="31"/>
        <v>1</v>
      </c>
      <c r="D305" t="str">
        <f>"1"</f>
        <v>1</v>
      </c>
      <c r="E305" t="str">
        <f>"2"</f>
        <v>2</v>
      </c>
      <c r="F305" s="2">
        <v>187332112</v>
      </c>
    </row>
    <row r="306" spans="1:6" x14ac:dyDescent="0.25">
      <c r="A306">
        <v>2036</v>
      </c>
      <c r="B306" t="str">
        <f>"Долгосрочные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холдинга"</f>
        <v>Долгосрочные займы, полученные от Правительства Республики Казахстан, местных исполнительных органов Республики Казахстан и национального управляющего холдинга</v>
      </c>
      <c r="C306" t="str">
        <f t="shared" si="31"/>
        <v>1</v>
      </c>
      <c r="D306" t="str">
        <f>"1"</f>
        <v>1</v>
      </c>
      <c r="E306" t="str">
        <f>"1"</f>
        <v>1</v>
      </c>
      <c r="F306" s="2">
        <v>200394996</v>
      </c>
    </row>
    <row r="307" spans="1:6" x14ac:dyDescent="0.25">
      <c r="A307">
        <v>2056</v>
      </c>
      <c r="B307" t="str">
        <f>"Долгосрочные займы, полученные от других банков"</f>
        <v>Долгосрочные займы, полученные от других банков</v>
      </c>
      <c r="C307" t="str">
        <f t="shared" si="31"/>
        <v>1</v>
      </c>
      <c r="D307" t="str">
        <f>"4"</f>
        <v>4</v>
      </c>
      <c r="E307" t="str">
        <f>"1"</f>
        <v>1</v>
      </c>
      <c r="F307" s="2">
        <v>12706932021.280001</v>
      </c>
    </row>
    <row r="308" spans="1:6" x14ac:dyDescent="0.25">
      <c r="A308">
        <v>2066</v>
      </c>
      <c r="B308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C308" t="str">
        <f t="shared" si="31"/>
        <v>1</v>
      </c>
      <c r="D308" t="str">
        <f>"5"</f>
        <v>5</v>
      </c>
      <c r="E308" t="str">
        <f>"1"</f>
        <v>1</v>
      </c>
      <c r="F308" s="2">
        <v>12709340093.209999</v>
      </c>
    </row>
    <row r="309" spans="1:6" x14ac:dyDescent="0.25">
      <c r="A309">
        <v>2202</v>
      </c>
      <c r="B309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09" t="str">
        <f t="shared" si="31"/>
        <v>1</v>
      </c>
      <c r="D309" t="str">
        <f>"5"</f>
        <v>5</v>
      </c>
      <c r="E309" t="str">
        <f>"1"</f>
        <v>1</v>
      </c>
      <c r="F309" s="2">
        <v>33088232.550000001</v>
      </c>
    </row>
    <row r="310" spans="1:6" x14ac:dyDescent="0.25">
      <c r="A310">
        <v>2202</v>
      </c>
      <c r="B310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C310" t="str">
        <f t="shared" si="31"/>
        <v>1</v>
      </c>
      <c r="D310" t="str">
        <f>"5"</f>
        <v>5</v>
      </c>
      <c r="E310" t="str">
        <f>"2"</f>
        <v>2</v>
      </c>
      <c r="F310" s="2">
        <v>32213199.73</v>
      </c>
    </row>
    <row r="311" spans="1:6" x14ac:dyDescent="0.25">
      <c r="A311">
        <v>2203</v>
      </c>
      <c r="B311" t="str">
        <f t="shared" ref="B311:B333" si="32">"Текущие счета юридических лиц"</f>
        <v>Текущие счета юридических лиц</v>
      </c>
      <c r="C311" t="str">
        <f t="shared" si="31"/>
        <v>1</v>
      </c>
      <c r="D311" t="str">
        <f>"5"</f>
        <v>5</v>
      </c>
      <c r="E311" t="str">
        <f>"2"</f>
        <v>2</v>
      </c>
      <c r="F311" s="2">
        <v>3599950976.73</v>
      </c>
    </row>
    <row r="312" spans="1:6" x14ac:dyDescent="0.25">
      <c r="A312">
        <v>2203</v>
      </c>
      <c r="B312" t="str">
        <f t="shared" si="32"/>
        <v>Текущие счета юридических лиц</v>
      </c>
      <c r="C312" t="str">
        <f t="shared" si="31"/>
        <v>1</v>
      </c>
      <c r="D312" t="str">
        <f>"5"</f>
        <v>5</v>
      </c>
      <c r="E312" t="str">
        <f>"1"</f>
        <v>1</v>
      </c>
      <c r="F312" s="2">
        <v>2330680928.5599999</v>
      </c>
    </row>
    <row r="313" spans="1:6" x14ac:dyDescent="0.25">
      <c r="A313">
        <v>2203</v>
      </c>
      <c r="B313" t="str">
        <f t="shared" si="32"/>
        <v>Текущие счета юридических лиц</v>
      </c>
      <c r="C313" t="str">
        <f t="shared" si="31"/>
        <v>1</v>
      </c>
      <c r="D313" t="str">
        <f>"6"</f>
        <v>6</v>
      </c>
      <c r="E313" t="str">
        <f>"3"</f>
        <v>3</v>
      </c>
      <c r="F313" s="2">
        <v>202732.42</v>
      </c>
    </row>
    <row r="314" spans="1:6" x14ac:dyDescent="0.25">
      <c r="A314">
        <v>2203</v>
      </c>
      <c r="B314" t="str">
        <f t="shared" si="32"/>
        <v>Текущие счета юридических лиц</v>
      </c>
      <c r="C314" t="str">
        <f t="shared" si="31"/>
        <v>1</v>
      </c>
      <c r="D314" t="str">
        <f>"7"</f>
        <v>7</v>
      </c>
      <c r="E314" t="str">
        <f>"1"</f>
        <v>1</v>
      </c>
      <c r="F314" s="2">
        <v>61717356181.160004</v>
      </c>
    </row>
    <row r="315" spans="1:6" x14ac:dyDescent="0.25">
      <c r="A315">
        <v>2203</v>
      </c>
      <c r="B315" t="str">
        <f t="shared" si="32"/>
        <v>Текущие счета юридических лиц</v>
      </c>
      <c r="C315" t="str">
        <f t="shared" si="31"/>
        <v>1</v>
      </c>
      <c r="D315" t="str">
        <f>"8"</f>
        <v>8</v>
      </c>
      <c r="E315" t="str">
        <f>"2"</f>
        <v>2</v>
      </c>
      <c r="F315" s="2">
        <v>295935746.52999997</v>
      </c>
    </row>
    <row r="316" spans="1:6" x14ac:dyDescent="0.25">
      <c r="A316">
        <v>2203</v>
      </c>
      <c r="B316" t="str">
        <f t="shared" si="32"/>
        <v>Текущие счета юридических лиц</v>
      </c>
      <c r="C316" t="str">
        <f>"2"</f>
        <v>2</v>
      </c>
      <c r="D316" t="str">
        <f>"5"</f>
        <v>5</v>
      </c>
      <c r="E316" t="str">
        <f>"1"</f>
        <v>1</v>
      </c>
      <c r="F316" s="2">
        <v>195879317.40000001</v>
      </c>
    </row>
    <row r="317" spans="1:6" x14ac:dyDescent="0.25">
      <c r="A317">
        <v>2203</v>
      </c>
      <c r="B317" t="str">
        <f t="shared" si="32"/>
        <v>Текущие счета юридических лиц</v>
      </c>
      <c r="C317" t="str">
        <f>"1"</f>
        <v>1</v>
      </c>
      <c r="D317" t="str">
        <f>"8"</f>
        <v>8</v>
      </c>
      <c r="E317" t="str">
        <f>"1"</f>
        <v>1</v>
      </c>
      <c r="F317" s="2">
        <v>1149483961.9200001</v>
      </c>
    </row>
    <row r="318" spans="1:6" x14ac:dyDescent="0.25">
      <c r="A318">
        <v>2203</v>
      </c>
      <c r="B318" t="str">
        <f t="shared" si="32"/>
        <v>Текущие счета юридических лиц</v>
      </c>
      <c r="C318" t="str">
        <f>"1"</f>
        <v>1</v>
      </c>
      <c r="D318" t="str">
        <f>"8"</f>
        <v>8</v>
      </c>
      <c r="E318" t="str">
        <f>"3"</f>
        <v>3</v>
      </c>
      <c r="F318" s="2">
        <v>2852.35</v>
      </c>
    </row>
    <row r="319" spans="1:6" x14ac:dyDescent="0.25">
      <c r="A319">
        <v>2203</v>
      </c>
      <c r="B319" t="str">
        <f t="shared" si="32"/>
        <v>Текущие счета юридических лиц</v>
      </c>
      <c r="C319" t="str">
        <f t="shared" ref="C319:C325" si="33">"2"</f>
        <v>2</v>
      </c>
      <c r="D319" t="str">
        <f>"1"</f>
        <v>1</v>
      </c>
      <c r="E319" t="str">
        <f>"1"</f>
        <v>1</v>
      </c>
      <c r="F319" s="2">
        <v>11984857.050000001</v>
      </c>
    </row>
    <row r="320" spans="1:6" x14ac:dyDescent="0.25">
      <c r="A320">
        <v>2203</v>
      </c>
      <c r="B320" t="str">
        <f t="shared" si="32"/>
        <v>Текущие счета юридических лиц</v>
      </c>
      <c r="C320" t="str">
        <f t="shared" si="33"/>
        <v>2</v>
      </c>
      <c r="D320" t="str">
        <f>"1"</f>
        <v>1</v>
      </c>
      <c r="E320" t="str">
        <f>"2"</f>
        <v>2</v>
      </c>
      <c r="F320" s="2">
        <v>11588938.23</v>
      </c>
    </row>
    <row r="321" spans="1:6" x14ac:dyDescent="0.25">
      <c r="A321">
        <v>2203</v>
      </c>
      <c r="B321" t="str">
        <f t="shared" si="32"/>
        <v>Текущие счета юридических лиц</v>
      </c>
      <c r="C321" t="str">
        <f t="shared" si="33"/>
        <v>2</v>
      </c>
      <c r="D321" t="str">
        <f>"7"</f>
        <v>7</v>
      </c>
      <c r="E321" t="str">
        <f>"2"</f>
        <v>2</v>
      </c>
      <c r="F321" s="2">
        <v>33631451863.290001</v>
      </c>
    </row>
    <row r="322" spans="1:6" x14ac:dyDescent="0.25">
      <c r="A322">
        <v>2203</v>
      </c>
      <c r="B322" t="str">
        <f t="shared" si="32"/>
        <v>Текущие счета юридических лиц</v>
      </c>
      <c r="C322" t="str">
        <f t="shared" si="33"/>
        <v>2</v>
      </c>
      <c r="D322" t="str">
        <f>"7"</f>
        <v>7</v>
      </c>
      <c r="E322" t="str">
        <f>"3"</f>
        <v>3</v>
      </c>
      <c r="F322" s="2">
        <v>2136971372.96</v>
      </c>
    </row>
    <row r="323" spans="1:6" x14ac:dyDescent="0.25">
      <c r="A323">
        <v>2203</v>
      </c>
      <c r="B323" t="str">
        <f t="shared" si="32"/>
        <v>Текущие счета юридических лиц</v>
      </c>
      <c r="C323" t="str">
        <f t="shared" si="33"/>
        <v>2</v>
      </c>
      <c r="D323" t="str">
        <f>"5"</f>
        <v>5</v>
      </c>
      <c r="E323" t="str">
        <f>"2"</f>
        <v>2</v>
      </c>
      <c r="F323" s="2">
        <v>1888964565.1500001</v>
      </c>
    </row>
    <row r="324" spans="1:6" x14ac:dyDescent="0.25">
      <c r="A324">
        <v>2203</v>
      </c>
      <c r="B324" t="str">
        <f t="shared" si="32"/>
        <v>Текущие счета юридических лиц</v>
      </c>
      <c r="C324" t="str">
        <f t="shared" si="33"/>
        <v>2</v>
      </c>
      <c r="D324" t="str">
        <f>"8"</f>
        <v>8</v>
      </c>
      <c r="E324" t="str">
        <f>"1"</f>
        <v>1</v>
      </c>
      <c r="F324" s="2">
        <v>1811340.3</v>
      </c>
    </row>
    <row r="325" spans="1:6" x14ac:dyDescent="0.25">
      <c r="A325">
        <v>2203</v>
      </c>
      <c r="B325" t="str">
        <f t="shared" si="32"/>
        <v>Текущие счета юридических лиц</v>
      </c>
      <c r="C325" t="str">
        <f t="shared" si="33"/>
        <v>2</v>
      </c>
      <c r="D325" t="str">
        <f>"8"</f>
        <v>8</v>
      </c>
      <c r="E325" t="str">
        <f>"2"</f>
        <v>2</v>
      </c>
      <c r="F325" s="2">
        <v>61963300</v>
      </c>
    </row>
    <row r="326" spans="1:6" x14ac:dyDescent="0.25">
      <c r="A326">
        <v>2203</v>
      </c>
      <c r="B326" t="str">
        <f t="shared" si="32"/>
        <v>Текущие счета юридических лиц</v>
      </c>
      <c r="C326" t="str">
        <f>"1"</f>
        <v>1</v>
      </c>
      <c r="D326" t="str">
        <f>"5"</f>
        <v>5</v>
      </c>
      <c r="E326" t="str">
        <f>"3"</f>
        <v>3</v>
      </c>
      <c r="F326" s="2">
        <v>21337754.68</v>
      </c>
    </row>
    <row r="327" spans="1:6" x14ac:dyDescent="0.25">
      <c r="A327">
        <v>2203</v>
      </c>
      <c r="B327" t="str">
        <f t="shared" si="32"/>
        <v>Текущие счета юридических лиц</v>
      </c>
      <c r="C327" t="str">
        <f>"1"</f>
        <v>1</v>
      </c>
      <c r="D327" t="str">
        <f>"6"</f>
        <v>6</v>
      </c>
      <c r="E327" t="str">
        <f>"2"</f>
        <v>2</v>
      </c>
      <c r="F327" s="2">
        <v>608405259.67999995</v>
      </c>
    </row>
    <row r="328" spans="1:6" x14ac:dyDescent="0.25">
      <c r="A328">
        <v>2203</v>
      </c>
      <c r="B328" t="str">
        <f t="shared" si="32"/>
        <v>Текущие счета юридических лиц</v>
      </c>
      <c r="C328" t="str">
        <f>"1"</f>
        <v>1</v>
      </c>
      <c r="D328" t="str">
        <f>"2"</f>
        <v>2</v>
      </c>
      <c r="E328" t="str">
        <f>"1"</f>
        <v>1</v>
      </c>
      <c r="F328" s="2">
        <v>26214937.969999999</v>
      </c>
    </row>
    <row r="329" spans="1:6" x14ac:dyDescent="0.25">
      <c r="A329">
        <v>2203</v>
      </c>
      <c r="B329" t="str">
        <f t="shared" si="32"/>
        <v>Текущие счета юридических лиц</v>
      </c>
      <c r="C329" t="str">
        <f>"1"</f>
        <v>1</v>
      </c>
      <c r="D329" t="str">
        <f>"7"</f>
        <v>7</v>
      </c>
      <c r="E329" t="str">
        <f>"2"</f>
        <v>2</v>
      </c>
      <c r="F329" s="2">
        <v>8536775106.0299997</v>
      </c>
    </row>
    <row r="330" spans="1:6" x14ac:dyDescent="0.25">
      <c r="A330">
        <v>2203</v>
      </c>
      <c r="B330" t="str">
        <f t="shared" si="32"/>
        <v>Текущие счета юридических лиц</v>
      </c>
      <c r="C330" t="str">
        <f>"2"</f>
        <v>2</v>
      </c>
      <c r="D330" t="str">
        <f>"5"</f>
        <v>5</v>
      </c>
      <c r="E330" t="str">
        <f>"3"</f>
        <v>3</v>
      </c>
      <c r="F330" s="2">
        <v>2817937.1</v>
      </c>
    </row>
    <row r="331" spans="1:6" x14ac:dyDescent="0.25">
      <c r="A331">
        <v>2203</v>
      </c>
      <c r="B331" t="str">
        <f t="shared" si="32"/>
        <v>Текущие счета юридических лиц</v>
      </c>
      <c r="C331" t="str">
        <f>"2"</f>
        <v>2</v>
      </c>
      <c r="D331" t="str">
        <f>"7"</f>
        <v>7</v>
      </c>
      <c r="E331" t="str">
        <f>"1"</f>
        <v>1</v>
      </c>
      <c r="F331" s="2">
        <v>129190522.20999999</v>
      </c>
    </row>
    <row r="332" spans="1:6" x14ac:dyDescent="0.25">
      <c r="A332">
        <v>2203</v>
      </c>
      <c r="B332" t="str">
        <f t="shared" si="32"/>
        <v>Текущие счета юридических лиц</v>
      </c>
      <c r="C332" t="str">
        <f>"1"</f>
        <v>1</v>
      </c>
      <c r="D332" t="str">
        <f>"6"</f>
        <v>6</v>
      </c>
      <c r="E332" t="str">
        <f>"1"</f>
        <v>1</v>
      </c>
      <c r="F332" s="2">
        <v>11974594545.290001</v>
      </c>
    </row>
    <row r="333" spans="1:6" x14ac:dyDescent="0.25">
      <c r="A333">
        <v>2203</v>
      </c>
      <c r="B333" t="str">
        <f t="shared" si="32"/>
        <v>Текущие счета юридических лиц</v>
      </c>
      <c r="C333" t="str">
        <f>"1"</f>
        <v>1</v>
      </c>
      <c r="D333" t="str">
        <f>"7"</f>
        <v>7</v>
      </c>
      <c r="E333" t="str">
        <f>"3"</f>
        <v>3</v>
      </c>
      <c r="F333" s="2">
        <v>1767697185.72</v>
      </c>
    </row>
    <row r="334" spans="1:6" x14ac:dyDescent="0.25">
      <c r="A334">
        <v>2204</v>
      </c>
      <c r="B334" t="str">
        <f t="shared" ref="B334:B339" si="34">"Текущие счета физических лиц"</f>
        <v>Текущие счета физических лиц</v>
      </c>
      <c r="C334" t="str">
        <f>"1"</f>
        <v>1</v>
      </c>
      <c r="D334" t="str">
        <f t="shared" ref="D334:D359" si="35">"9"</f>
        <v>9</v>
      </c>
      <c r="E334" t="str">
        <f>"1"</f>
        <v>1</v>
      </c>
      <c r="F334" s="2">
        <v>38166708586.959999</v>
      </c>
    </row>
    <row r="335" spans="1:6" x14ac:dyDescent="0.25">
      <c r="A335">
        <v>2204</v>
      </c>
      <c r="B335" t="str">
        <f t="shared" si="34"/>
        <v>Текущие счета физических лиц</v>
      </c>
      <c r="C335" t="str">
        <f>"1"</f>
        <v>1</v>
      </c>
      <c r="D335" t="str">
        <f t="shared" si="35"/>
        <v>9</v>
      </c>
      <c r="E335" t="str">
        <f>"2"</f>
        <v>2</v>
      </c>
      <c r="F335" s="2">
        <v>9167663050.3299999</v>
      </c>
    </row>
    <row r="336" spans="1:6" x14ac:dyDescent="0.25">
      <c r="A336">
        <v>2204</v>
      </c>
      <c r="B336" t="str">
        <f t="shared" si="34"/>
        <v>Текущие счета физических лиц</v>
      </c>
      <c r="C336" t="str">
        <f>"1"</f>
        <v>1</v>
      </c>
      <c r="D336" t="str">
        <f t="shared" si="35"/>
        <v>9</v>
      </c>
      <c r="E336" t="str">
        <f>"3"</f>
        <v>3</v>
      </c>
      <c r="F336" s="2">
        <v>166887896.25</v>
      </c>
    </row>
    <row r="337" spans="1:6" x14ac:dyDescent="0.25">
      <c r="A337">
        <v>2204</v>
      </c>
      <c r="B337" t="str">
        <f t="shared" si="34"/>
        <v>Текущие счета физических лиц</v>
      </c>
      <c r="C337" t="str">
        <f>"2"</f>
        <v>2</v>
      </c>
      <c r="D337" t="str">
        <f t="shared" si="35"/>
        <v>9</v>
      </c>
      <c r="E337" t="str">
        <f>"2"</f>
        <v>2</v>
      </c>
      <c r="F337" s="2">
        <v>1557631018.74</v>
      </c>
    </row>
    <row r="338" spans="1:6" x14ac:dyDescent="0.25">
      <c r="A338">
        <v>2204</v>
      </c>
      <c r="B338" t="str">
        <f t="shared" si="34"/>
        <v>Текущие счета физических лиц</v>
      </c>
      <c r="C338" t="str">
        <f>"2"</f>
        <v>2</v>
      </c>
      <c r="D338" t="str">
        <f t="shared" si="35"/>
        <v>9</v>
      </c>
      <c r="E338" t="str">
        <f>"1"</f>
        <v>1</v>
      </c>
      <c r="F338" s="2">
        <v>1318409717.6900001</v>
      </c>
    </row>
    <row r="339" spans="1:6" x14ac:dyDescent="0.25">
      <c r="A339">
        <v>2204</v>
      </c>
      <c r="B339" t="str">
        <f t="shared" si="34"/>
        <v>Текущие счета физических лиц</v>
      </c>
      <c r="C339" t="str">
        <f>"2"</f>
        <v>2</v>
      </c>
      <c r="D339" t="str">
        <f t="shared" si="35"/>
        <v>9</v>
      </c>
      <c r="E339" t="str">
        <f>"3"</f>
        <v>3</v>
      </c>
      <c r="F339" s="2">
        <v>177131134.97</v>
      </c>
    </row>
    <row r="340" spans="1:6" x14ac:dyDescent="0.25">
      <c r="A340">
        <v>2205</v>
      </c>
      <c r="B340" t="str">
        <f t="shared" ref="B340:B345" si="36">"Вклады до востребования физических лиц"</f>
        <v>Вклады до востребования физических лиц</v>
      </c>
      <c r="C340" t="str">
        <f>"2"</f>
        <v>2</v>
      </c>
      <c r="D340" t="str">
        <f t="shared" si="35"/>
        <v>9</v>
      </c>
      <c r="E340" t="str">
        <f>"2"</f>
        <v>2</v>
      </c>
      <c r="F340" s="2">
        <v>25560760093.689999</v>
      </c>
    </row>
    <row r="341" spans="1:6" x14ac:dyDescent="0.25">
      <c r="A341">
        <v>2205</v>
      </c>
      <c r="B341" t="str">
        <f t="shared" si="36"/>
        <v>Вклады до востребования физических лиц</v>
      </c>
      <c r="C341" t="str">
        <f>"1"</f>
        <v>1</v>
      </c>
      <c r="D341" t="str">
        <f t="shared" si="35"/>
        <v>9</v>
      </c>
      <c r="E341" t="str">
        <f>"2"</f>
        <v>2</v>
      </c>
      <c r="F341" s="2">
        <v>6163785351.5600004</v>
      </c>
    </row>
    <row r="342" spans="1:6" x14ac:dyDescent="0.25">
      <c r="A342">
        <v>2205</v>
      </c>
      <c r="B342" t="str">
        <f t="shared" si="36"/>
        <v>Вклады до востребования физических лиц</v>
      </c>
      <c r="C342" t="str">
        <f>"1"</f>
        <v>1</v>
      </c>
      <c r="D342" t="str">
        <f t="shared" si="35"/>
        <v>9</v>
      </c>
      <c r="E342" t="str">
        <f>"3"</f>
        <v>3</v>
      </c>
      <c r="F342" s="2">
        <v>5806.65</v>
      </c>
    </row>
    <row r="343" spans="1:6" x14ac:dyDescent="0.25">
      <c r="A343">
        <v>2205</v>
      </c>
      <c r="B343" t="str">
        <f t="shared" si="36"/>
        <v>Вклады до востребования физических лиц</v>
      </c>
      <c r="C343" t="str">
        <f>"2"</f>
        <v>2</v>
      </c>
      <c r="D343" t="str">
        <f t="shared" si="35"/>
        <v>9</v>
      </c>
      <c r="E343" t="str">
        <f>"1"</f>
        <v>1</v>
      </c>
      <c r="F343" s="2">
        <v>7608992.3899999997</v>
      </c>
    </row>
    <row r="344" spans="1:6" x14ac:dyDescent="0.25">
      <c r="A344">
        <v>2205</v>
      </c>
      <c r="B344" t="str">
        <f t="shared" si="36"/>
        <v>Вклады до востребования физических лиц</v>
      </c>
      <c r="C344" t="str">
        <f>"2"</f>
        <v>2</v>
      </c>
      <c r="D344" t="str">
        <f t="shared" si="35"/>
        <v>9</v>
      </c>
      <c r="E344" t="str">
        <f>"3"</f>
        <v>3</v>
      </c>
      <c r="F344" s="2">
        <v>430.68</v>
      </c>
    </row>
    <row r="345" spans="1:6" x14ac:dyDescent="0.25">
      <c r="A345">
        <v>2205</v>
      </c>
      <c r="B345" t="str">
        <f t="shared" si="36"/>
        <v>Вклады до востребования физических лиц</v>
      </c>
      <c r="C345" t="str">
        <f>"1"</f>
        <v>1</v>
      </c>
      <c r="D345" t="str">
        <f t="shared" si="35"/>
        <v>9</v>
      </c>
      <c r="E345" t="str">
        <f>"1"</f>
        <v>1</v>
      </c>
      <c r="F345" s="2">
        <v>15625936.27</v>
      </c>
    </row>
    <row r="346" spans="1:6" x14ac:dyDescent="0.25">
      <c r="A346">
        <v>2206</v>
      </c>
      <c r="B346" t="str">
        <f t="shared" ref="B346:B351" si="37">"Краткосрочные вклады физических лиц"</f>
        <v>Краткосрочные вклады физических лиц</v>
      </c>
      <c r="C346" t="str">
        <f>"1"</f>
        <v>1</v>
      </c>
      <c r="D346" t="str">
        <f t="shared" si="35"/>
        <v>9</v>
      </c>
      <c r="E346" t="str">
        <f>"1"</f>
        <v>1</v>
      </c>
      <c r="F346" s="2">
        <v>148103178786.04999</v>
      </c>
    </row>
    <row r="347" spans="1:6" x14ac:dyDescent="0.25">
      <c r="A347">
        <v>2206</v>
      </c>
      <c r="B347" t="str">
        <f t="shared" si="37"/>
        <v>Краткосрочные вклады физических лиц</v>
      </c>
      <c r="C347" t="str">
        <f>"1"</f>
        <v>1</v>
      </c>
      <c r="D347" t="str">
        <f t="shared" si="35"/>
        <v>9</v>
      </c>
      <c r="E347" t="str">
        <f>"2"</f>
        <v>2</v>
      </c>
      <c r="F347" s="2">
        <v>92310864460.130005</v>
      </c>
    </row>
    <row r="348" spans="1:6" x14ac:dyDescent="0.25">
      <c r="A348">
        <v>2206</v>
      </c>
      <c r="B348" t="str">
        <f t="shared" si="37"/>
        <v>Краткосрочные вклады физических лиц</v>
      </c>
      <c r="C348" t="str">
        <f>"1"</f>
        <v>1</v>
      </c>
      <c r="D348" t="str">
        <f t="shared" si="35"/>
        <v>9</v>
      </c>
      <c r="E348" t="str">
        <f>"3"</f>
        <v>3</v>
      </c>
      <c r="F348" s="2">
        <v>850882138.13999999</v>
      </c>
    </row>
    <row r="349" spans="1:6" x14ac:dyDescent="0.25">
      <c r="A349">
        <v>2206</v>
      </c>
      <c r="B349" t="str">
        <f t="shared" si="37"/>
        <v>Краткосрочные вклады физических лиц</v>
      </c>
      <c r="C349" t="str">
        <f>"2"</f>
        <v>2</v>
      </c>
      <c r="D349" t="str">
        <f t="shared" si="35"/>
        <v>9</v>
      </c>
      <c r="E349" t="str">
        <f>"1"</f>
        <v>1</v>
      </c>
      <c r="F349" s="2">
        <v>1910630748.6099999</v>
      </c>
    </row>
    <row r="350" spans="1:6" x14ac:dyDescent="0.25">
      <c r="A350">
        <v>2206</v>
      </c>
      <c r="B350" t="str">
        <f t="shared" si="37"/>
        <v>Краткосрочные вклады физических лиц</v>
      </c>
      <c r="C350" t="str">
        <f>"2"</f>
        <v>2</v>
      </c>
      <c r="D350" t="str">
        <f t="shared" si="35"/>
        <v>9</v>
      </c>
      <c r="E350" t="str">
        <f>"2"</f>
        <v>2</v>
      </c>
      <c r="F350" s="2">
        <v>2658928880.8899999</v>
      </c>
    </row>
    <row r="351" spans="1:6" x14ac:dyDescent="0.25">
      <c r="A351">
        <v>2206</v>
      </c>
      <c r="B351" t="str">
        <f t="shared" si="37"/>
        <v>Краткосрочные вклады физических лиц</v>
      </c>
      <c r="C351" t="str">
        <f>"2"</f>
        <v>2</v>
      </c>
      <c r="D351" t="str">
        <f t="shared" si="35"/>
        <v>9</v>
      </c>
      <c r="E351" t="str">
        <f>"3"</f>
        <v>3</v>
      </c>
      <c r="F351" s="2">
        <v>22745682.079999998</v>
      </c>
    </row>
    <row r="352" spans="1:6" x14ac:dyDescent="0.25">
      <c r="A352">
        <v>2207</v>
      </c>
      <c r="B352" t="str">
        <f t="shared" ref="B352:B357" si="38">"Долгосрочные вклады физических лиц"</f>
        <v>Долгосрочные вклады физических лиц</v>
      </c>
      <c r="C352" t="str">
        <f>"1"</f>
        <v>1</v>
      </c>
      <c r="D352" t="str">
        <f t="shared" si="35"/>
        <v>9</v>
      </c>
      <c r="E352" t="str">
        <f>"2"</f>
        <v>2</v>
      </c>
      <c r="F352" s="2">
        <v>20479120594.310001</v>
      </c>
    </row>
    <row r="353" spans="1:6" x14ac:dyDescent="0.25">
      <c r="A353">
        <v>2207</v>
      </c>
      <c r="B353" t="str">
        <f t="shared" si="38"/>
        <v>Долгосрочные вклады физических лиц</v>
      </c>
      <c r="C353" t="str">
        <f>"2"</f>
        <v>2</v>
      </c>
      <c r="D353" t="str">
        <f t="shared" si="35"/>
        <v>9</v>
      </c>
      <c r="E353" t="str">
        <f>"3"</f>
        <v>3</v>
      </c>
      <c r="F353" s="2">
        <v>1285954.17</v>
      </c>
    </row>
    <row r="354" spans="1:6" x14ac:dyDescent="0.25">
      <c r="A354">
        <v>2207</v>
      </c>
      <c r="B354" t="str">
        <f t="shared" si="38"/>
        <v>Долгосрочные вклады физических лиц</v>
      </c>
      <c r="C354" t="str">
        <f>"1"</f>
        <v>1</v>
      </c>
      <c r="D354" t="str">
        <f t="shared" si="35"/>
        <v>9</v>
      </c>
      <c r="E354" t="str">
        <f>"3"</f>
        <v>3</v>
      </c>
      <c r="F354" s="2">
        <v>422022669.57999998</v>
      </c>
    </row>
    <row r="355" spans="1:6" x14ac:dyDescent="0.25">
      <c r="A355">
        <v>2207</v>
      </c>
      <c r="B355" t="str">
        <f t="shared" si="38"/>
        <v>Долгосрочные вклады физических лиц</v>
      </c>
      <c r="C355" t="str">
        <f>"2"</f>
        <v>2</v>
      </c>
      <c r="D355" t="str">
        <f t="shared" si="35"/>
        <v>9</v>
      </c>
      <c r="E355" t="str">
        <f>"2"</f>
        <v>2</v>
      </c>
      <c r="F355" s="2">
        <v>758683074.33000004</v>
      </c>
    </row>
    <row r="356" spans="1:6" x14ac:dyDescent="0.25">
      <c r="A356">
        <v>2207</v>
      </c>
      <c r="B356" t="str">
        <f t="shared" si="38"/>
        <v>Долгосрочные вклады физических лиц</v>
      </c>
      <c r="C356" t="str">
        <f>"1"</f>
        <v>1</v>
      </c>
      <c r="D356" t="str">
        <f t="shared" si="35"/>
        <v>9</v>
      </c>
      <c r="E356" t="str">
        <f>"1"</f>
        <v>1</v>
      </c>
      <c r="F356" s="2">
        <v>48328096636.25</v>
      </c>
    </row>
    <row r="357" spans="1:6" x14ac:dyDescent="0.25">
      <c r="A357">
        <v>2207</v>
      </c>
      <c r="B357" t="str">
        <f t="shared" si="38"/>
        <v>Долгосрочные вклады физических лиц</v>
      </c>
      <c r="C357" t="str">
        <f>"2"</f>
        <v>2</v>
      </c>
      <c r="D357" t="str">
        <f t="shared" si="35"/>
        <v>9</v>
      </c>
      <c r="E357" t="str">
        <f>"1"</f>
        <v>1</v>
      </c>
      <c r="F357" s="2">
        <v>431087124.35000002</v>
      </c>
    </row>
    <row r="358" spans="1:6" x14ac:dyDescent="0.25">
      <c r="A358">
        <v>2208</v>
      </c>
      <c r="B358" t="str">
        <f>"Условные вклады физических лиц"</f>
        <v>Условные вклады физических лиц</v>
      </c>
      <c r="C358" t="str">
        <f>"1"</f>
        <v>1</v>
      </c>
      <c r="D358" t="str">
        <f t="shared" si="35"/>
        <v>9</v>
      </c>
      <c r="E358" t="str">
        <f>"1"</f>
        <v>1</v>
      </c>
      <c r="F358" s="2">
        <v>2510330.91</v>
      </c>
    </row>
    <row r="359" spans="1:6" x14ac:dyDescent="0.25">
      <c r="A359">
        <v>2208</v>
      </c>
      <c r="B359" t="str">
        <f>"Условные вклады физических лиц"</f>
        <v>Условные вклады физических лиц</v>
      </c>
      <c r="C359" t="str">
        <f>"1"</f>
        <v>1</v>
      </c>
      <c r="D359" t="str">
        <f t="shared" si="35"/>
        <v>9</v>
      </c>
      <c r="E359" t="str">
        <f>"2"</f>
        <v>2</v>
      </c>
      <c r="F359" s="2">
        <v>8967774.2300000004</v>
      </c>
    </row>
    <row r="360" spans="1:6" x14ac:dyDescent="0.25">
      <c r="A360">
        <v>2211</v>
      </c>
      <c r="B360" t="str">
        <f>"Вклады до востребования юридических лиц"</f>
        <v>Вклады до востребования юридических лиц</v>
      </c>
      <c r="C360" t="str">
        <f>"1"</f>
        <v>1</v>
      </c>
      <c r="D360" t="str">
        <f>"7"</f>
        <v>7</v>
      </c>
      <c r="E360" t="str">
        <f>"1"</f>
        <v>1</v>
      </c>
      <c r="F360" s="2">
        <v>122732482.63</v>
      </c>
    </row>
    <row r="361" spans="1:6" x14ac:dyDescent="0.25">
      <c r="A361">
        <v>2211</v>
      </c>
      <c r="B361" t="str">
        <f>"Вклады до востребования юридических лиц"</f>
        <v>Вклады до востребования юридических лиц</v>
      </c>
      <c r="C361" t="str">
        <f>"1"</f>
        <v>1</v>
      </c>
      <c r="D361" t="str">
        <f>"5"</f>
        <v>5</v>
      </c>
      <c r="E361" t="str">
        <f>"2"</f>
        <v>2</v>
      </c>
      <c r="F361" s="2">
        <v>4.32</v>
      </c>
    </row>
    <row r="362" spans="1:6" x14ac:dyDescent="0.25">
      <c r="A362">
        <v>2211</v>
      </c>
      <c r="B362" t="str">
        <f>"Вклады до востребования юридических лиц"</f>
        <v>Вклады до востребования юридических лиц</v>
      </c>
      <c r="C362" t="str">
        <f>"1"</f>
        <v>1</v>
      </c>
      <c r="D362" t="str">
        <f>"7"</f>
        <v>7</v>
      </c>
      <c r="E362" t="str">
        <f>"2"</f>
        <v>2</v>
      </c>
      <c r="F362" s="2">
        <v>21215480</v>
      </c>
    </row>
    <row r="363" spans="1:6" x14ac:dyDescent="0.25">
      <c r="A363">
        <v>2211</v>
      </c>
      <c r="B363" t="str">
        <f>"Вклады до востребования юридических лиц"</f>
        <v>Вклады до востребования юридических лиц</v>
      </c>
      <c r="C363" t="str">
        <f>"2"</f>
        <v>2</v>
      </c>
      <c r="D363" t="str">
        <f>"7"</f>
        <v>7</v>
      </c>
      <c r="E363" t="str">
        <f>"2"</f>
        <v>2</v>
      </c>
      <c r="F363" s="2">
        <v>464733.38</v>
      </c>
    </row>
    <row r="364" spans="1:6" x14ac:dyDescent="0.25">
      <c r="A364">
        <v>2211</v>
      </c>
      <c r="B364" t="str">
        <f>"Вклады до востребования юридических лиц"</f>
        <v>Вклады до востребования юридических лиц</v>
      </c>
      <c r="C364" t="str">
        <f>"1"</f>
        <v>1</v>
      </c>
      <c r="D364" t="str">
        <f>"5"</f>
        <v>5</v>
      </c>
      <c r="E364" t="str">
        <f>"1"</f>
        <v>1</v>
      </c>
      <c r="F364" s="2">
        <v>530.92999999999995</v>
      </c>
    </row>
    <row r="365" spans="1:6" x14ac:dyDescent="0.25">
      <c r="A365">
        <v>2213</v>
      </c>
      <c r="B365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65" t="str">
        <f>"1"</f>
        <v>1</v>
      </c>
      <c r="D365" t="str">
        <f>"9"</f>
        <v>9</v>
      </c>
      <c r="E365" t="str">
        <f>"2"</f>
        <v>2</v>
      </c>
      <c r="F365" s="2">
        <v>1218692962.4000001</v>
      </c>
    </row>
    <row r="366" spans="1:6" x14ac:dyDescent="0.25">
      <c r="A366">
        <v>2213</v>
      </c>
      <c r="B366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66" t="str">
        <f>"1"</f>
        <v>1</v>
      </c>
      <c r="D366" t="str">
        <f>"9"</f>
        <v>9</v>
      </c>
      <c r="E366" t="str">
        <f>"1"</f>
        <v>1</v>
      </c>
      <c r="F366" s="2">
        <v>3895208111.5300002</v>
      </c>
    </row>
    <row r="367" spans="1:6" x14ac:dyDescent="0.25">
      <c r="A367">
        <v>2213</v>
      </c>
      <c r="B367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367" t="str">
        <f>"2"</f>
        <v>2</v>
      </c>
      <c r="D367" t="str">
        <f>"9"</f>
        <v>9</v>
      </c>
      <c r="E367" t="str">
        <f>"1"</f>
        <v>1</v>
      </c>
      <c r="F367" s="2">
        <v>20000</v>
      </c>
    </row>
    <row r="368" spans="1:6" x14ac:dyDescent="0.25">
      <c r="A368">
        <v>2214</v>
      </c>
      <c r="B36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68" t="str">
        <f>"1"</f>
        <v>1</v>
      </c>
      <c r="D368" t="str">
        <f>"9"</f>
        <v>9</v>
      </c>
      <c r="E368" t="str">
        <f>"1"</f>
        <v>1</v>
      </c>
      <c r="F368" s="2">
        <v>64570023359.800003</v>
      </c>
    </row>
    <row r="369" spans="1:6" x14ac:dyDescent="0.25">
      <c r="A369">
        <v>2214</v>
      </c>
      <c r="B369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369" t="str">
        <f>"2"</f>
        <v>2</v>
      </c>
      <c r="D369" t="str">
        <f>"9"</f>
        <v>9</v>
      </c>
      <c r="E369" t="str">
        <f>"1"</f>
        <v>1</v>
      </c>
      <c r="F369" s="2">
        <v>424327202.18000001</v>
      </c>
    </row>
    <row r="370" spans="1:6" x14ac:dyDescent="0.25">
      <c r="A370">
        <v>2215</v>
      </c>
      <c r="B370" t="str">
        <f t="shared" ref="B370:B381" si="39">"Краткосрочные вклады юридических лиц"</f>
        <v>Краткосрочные вклады юридических лиц</v>
      </c>
      <c r="C370" t="str">
        <f>"1"</f>
        <v>1</v>
      </c>
      <c r="D370" t="str">
        <f>"5"</f>
        <v>5</v>
      </c>
      <c r="E370" t="str">
        <f>"1"</f>
        <v>1</v>
      </c>
      <c r="F370" s="2">
        <v>10757495483.51</v>
      </c>
    </row>
    <row r="371" spans="1:6" x14ac:dyDescent="0.25">
      <c r="A371">
        <v>2215</v>
      </c>
      <c r="B371" t="str">
        <f t="shared" si="39"/>
        <v>Краткосрочные вклады юридических лиц</v>
      </c>
      <c r="C371" t="str">
        <f>"1"</f>
        <v>1</v>
      </c>
      <c r="D371" t="str">
        <f>"5"</f>
        <v>5</v>
      </c>
      <c r="E371" t="str">
        <f>"2"</f>
        <v>2</v>
      </c>
      <c r="F371" s="2">
        <v>10412481096.5</v>
      </c>
    </row>
    <row r="372" spans="1:6" x14ac:dyDescent="0.25">
      <c r="A372">
        <v>2215</v>
      </c>
      <c r="B372" t="str">
        <f t="shared" si="39"/>
        <v>Краткосрочные вклады юридических лиц</v>
      </c>
      <c r="C372" t="str">
        <f>"1"</f>
        <v>1</v>
      </c>
      <c r="D372" t="str">
        <f>"7"</f>
        <v>7</v>
      </c>
      <c r="E372" t="str">
        <f>"1"</f>
        <v>1</v>
      </c>
      <c r="F372" s="2">
        <v>143192486574.73001</v>
      </c>
    </row>
    <row r="373" spans="1:6" x14ac:dyDescent="0.25">
      <c r="A373">
        <v>2215</v>
      </c>
      <c r="B373" t="str">
        <f t="shared" si="39"/>
        <v>Краткосрочные вклады юридических лиц</v>
      </c>
      <c r="C373" t="str">
        <f>"1"</f>
        <v>1</v>
      </c>
      <c r="D373" t="str">
        <f>"5"</f>
        <v>5</v>
      </c>
      <c r="E373" t="str">
        <f>"3"</f>
        <v>3</v>
      </c>
      <c r="F373" s="2">
        <v>88300800</v>
      </c>
    </row>
    <row r="374" spans="1:6" x14ac:dyDescent="0.25">
      <c r="A374">
        <v>2215</v>
      </c>
      <c r="B374" t="str">
        <f t="shared" si="39"/>
        <v>Краткосрочные вклады юридических лиц</v>
      </c>
      <c r="C374" t="str">
        <f>"1"</f>
        <v>1</v>
      </c>
      <c r="D374" t="str">
        <f>"7"</f>
        <v>7</v>
      </c>
      <c r="E374" t="str">
        <f>"2"</f>
        <v>2</v>
      </c>
      <c r="F374" s="2">
        <v>76731149293.339996</v>
      </c>
    </row>
    <row r="375" spans="1:6" x14ac:dyDescent="0.25">
      <c r="A375">
        <v>2215</v>
      </c>
      <c r="B375" t="str">
        <f t="shared" si="39"/>
        <v>Краткосрочные вклады юридических лиц</v>
      </c>
      <c r="C375" t="str">
        <f>"2"</f>
        <v>2</v>
      </c>
      <c r="D375" t="str">
        <f>"7"</f>
        <v>7</v>
      </c>
      <c r="E375" t="str">
        <f>"2"</f>
        <v>2</v>
      </c>
      <c r="F375" s="2">
        <v>115704838288.11</v>
      </c>
    </row>
    <row r="376" spans="1:6" x14ac:dyDescent="0.25">
      <c r="A376">
        <v>2215</v>
      </c>
      <c r="B376" t="str">
        <f t="shared" si="39"/>
        <v>Краткосрочные вклады юридических лиц</v>
      </c>
      <c r="C376" t="str">
        <f>"1"</f>
        <v>1</v>
      </c>
      <c r="D376" t="str">
        <f>"6"</f>
        <v>6</v>
      </c>
      <c r="E376" t="str">
        <f>"1"</f>
        <v>1</v>
      </c>
      <c r="F376" s="2">
        <v>4930392715.25</v>
      </c>
    </row>
    <row r="377" spans="1:6" x14ac:dyDescent="0.25">
      <c r="A377">
        <v>2215</v>
      </c>
      <c r="B377" t="str">
        <f t="shared" si="39"/>
        <v>Краткосрочные вклады юридических лиц</v>
      </c>
      <c r="C377" t="str">
        <f>"2"</f>
        <v>2</v>
      </c>
      <c r="D377" t="str">
        <f>"5"</f>
        <v>5</v>
      </c>
      <c r="E377" t="str">
        <f>"2"</f>
        <v>2</v>
      </c>
      <c r="F377" s="2">
        <v>17018628832.110001</v>
      </c>
    </row>
    <row r="378" spans="1:6" x14ac:dyDescent="0.25">
      <c r="A378">
        <v>2215</v>
      </c>
      <c r="B378" t="str">
        <f t="shared" si="39"/>
        <v>Краткосрочные вклады юридических лиц</v>
      </c>
      <c r="C378" t="str">
        <f>"1"</f>
        <v>1</v>
      </c>
      <c r="D378" t="str">
        <f>"8"</f>
        <v>8</v>
      </c>
      <c r="E378" t="str">
        <f>"1"</f>
        <v>1</v>
      </c>
      <c r="F378" s="2">
        <v>1028669915.88</v>
      </c>
    </row>
    <row r="379" spans="1:6" x14ac:dyDescent="0.25">
      <c r="A379">
        <v>2215</v>
      </c>
      <c r="B379" t="str">
        <f t="shared" si="39"/>
        <v>Краткосрочные вклады юридических лиц</v>
      </c>
      <c r="C379" t="str">
        <f>"2"</f>
        <v>2</v>
      </c>
      <c r="D379" t="str">
        <f>"7"</f>
        <v>7</v>
      </c>
      <c r="E379" t="str">
        <f>"3"</f>
        <v>3</v>
      </c>
      <c r="F379" s="2">
        <v>2535379200</v>
      </c>
    </row>
    <row r="380" spans="1:6" x14ac:dyDescent="0.25">
      <c r="A380">
        <v>2215</v>
      </c>
      <c r="B380" t="str">
        <f t="shared" si="39"/>
        <v>Краткосрочные вклады юридических лиц</v>
      </c>
      <c r="C380" t="str">
        <f t="shared" ref="C380:C385" si="40">"1"</f>
        <v>1</v>
      </c>
      <c r="D380" t="str">
        <f>"7"</f>
        <v>7</v>
      </c>
      <c r="E380" t="str">
        <f>"3"</f>
        <v>3</v>
      </c>
      <c r="F380" s="2">
        <v>3982663142.25</v>
      </c>
    </row>
    <row r="381" spans="1:6" x14ac:dyDescent="0.25">
      <c r="A381">
        <v>2215</v>
      </c>
      <c r="B381" t="str">
        <f t="shared" si="39"/>
        <v>Краткосрочные вклады юридических лиц</v>
      </c>
      <c r="C381" t="str">
        <f t="shared" si="40"/>
        <v>1</v>
      </c>
      <c r="D381" t="str">
        <f>"8"</f>
        <v>8</v>
      </c>
      <c r="E381" t="str">
        <f>"2"</f>
        <v>2</v>
      </c>
      <c r="F381" s="2">
        <v>107666436</v>
      </c>
    </row>
    <row r="382" spans="1:6" x14ac:dyDescent="0.25">
      <c r="A382">
        <v>2217</v>
      </c>
      <c r="B382" t="str">
        <f t="shared" ref="B382:B387" si="41">"Долгосрочные вклады юридических лиц"</f>
        <v>Долгосрочные вклады юридических лиц</v>
      </c>
      <c r="C382" t="str">
        <f t="shared" si="40"/>
        <v>1</v>
      </c>
      <c r="D382" t="str">
        <f>"5"</f>
        <v>5</v>
      </c>
      <c r="E382" t="str">
        <f>"1"</f>
        <v>1</v>
      </c>
      <c r="F382" s="2">
        <v>50025093993.269997</v>
      </c>
    </row>
    <row r="383" spans="1:6" x14ac:dyDescent="0.25">
      <c r="A383">
        <v>2217</v>
      </c>
      <c r="B383" t="str">
        <f t="shared" si="41"/>
        <v>Долгосрочные вклады юридических лиц</v>
      </c>
      <c r="C383" t="str">
        <f t="shared" si="40"/>
        <v>1</v>
      </c>
      <c r="D383" t="str">
        <f>"7"</f>
        <v>7</v>
      </c>
      <c r="E383" t="str">
        <f>"2"</f>
        <v>2</v>
      </c>
      <c r="F383" s="2">
        <v>15071694245.17</v>
      </c>
    </row>
    <row r="384" spans="1:6" x14ac:dyDescent="0.25">
      <c r="A384">
        <v>2217</v>
      </c>
      <c r="B384" t="str">
        <f t="shared" si="41"/>
        <v>Долгосрочные вклады юридических лиц</v>
      </c>
      <c r="C384" t="str">
        <f t="shared" si="40"/>
        <v>1</v>
      </c>
      <c r="D384" t="str">
        <f>"6"</f>
        <v>6</v>
      </c>
      <c r="E384" t="str">
        <f>"1"</f>
        <v>1</v>
      </c>
      <c r="F384" s="2">
        <v>3933259155.2199998</v>
      </c>
    </row>
    <row r="385" spans="1:6" x14ac:dyDescent="0.25">
      <c r="A385">
        <v>2217</v>
      </c>
      <c r="B385" t="str">
        <f t="shared" si="41"/>
        <v>Долгосрочные вклады юридических лиц</v>
      </c>
      <c r="C385" t="str">
        <f t="shared" si="40"/>
        <v>1</v>
      </c>
      <c r="D385" t="str">
        <f>"8"</f>
        <v>8</v>
      </c>
      <c r="E385" t="str">
        <f>"1"</f>
        <v>1</v>
      </c>
      <c r="F385" s="2">
        <v>10000000</v>
      </c>
    </row>
    <row r="386" spans="1:6" x14ac:dyDescent="0.25">
      <c r="A386">
        <v>2217</v>
      </c>
      <c r="B386" t="str">
        <f t="shared" si="41"/>
        <v>Долгосрочные вклады юридических лиц</v>
      </c>
      <c r="C386" t="str">
        <f>"2"</f>
        <v>2</v>
      </c>
      <c r="D386" t="str">
        <f>"7"</f>
        <v>7</v>
      </c>
      <c r="E386" t="str">
        <f>"2"</f>
        <v>2</v>
      </c>
      <c r="F386" s="2">
        <v>471172910.07999998</v>
      </c>
    </row>
    <row r="387" spans="1:6" x14ac:dyDescent="0.25">
      <c r="A387">
        <v>2217</v>
      </c>
      <c r="B387" t="str">
        <f t="shared" si="41"/>
        <v>Долгосрочные вклады юридических лиц</v>
      </c>
      <c r="C387" t="str">
        <f>"1"</f>
        <v>1</v>
      </c>
      <c r="D387" t="str">
        <f>"7"</f>
        <v>7</v>
      </c>
      <c r="E387" t="str">
        <f>"1"</f>
        <v>1</v>
      </c>
      <c r="F387" s="2">
        <v>16556211612.379999</v>
      </c>
    </row>
    <row r="388" spans="1:6" x14ac:dyDescent="0.25">
      <c r="A388">
        <v>2218</v>
      </c>
      <c r="B388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C388" t="str">
        <f>"1"</f>
        <v>1</v>
      </c>
      <c r="D388" t="str">
        <f>"7"</f>
        <v>7</v>
      </c>
      <c r="E388" t="str">
        <f>"2"</f>
        <v>2</v>
      </c>
      <c r="F388" s="2">
        <v>19178716583.82</v>
      </c>
    </row>
    <row r="389" spans="1:6" x14ac:dyDescent="0.25">
      <c r="A389">
        <v>2219</v>
      </c>
      <c r="B389" t="str">
        <f>"Условные вклады юридических лиц"</f>
        <v>Условные вклады юридических лиц</v>
      </c>
      <c r="C389" t="str">
        <f>"1"</f>
        <v>1</v>
      </c>
      <c r="D389" t="str">
        <f>"7"</f>
        <v>7</v>
      </c>
      <c r="E389" t="str">
        <f>"1"</f>
        <v>1</v>
      </c>
      <c r="F389" s="2">
        <v>21098925.329999998</v>
      </c>
    </row>
    <row r="390" spans="1:6" x14ac:dyDescent="0.25">
      <c r="A390">
        <v>2219</v>
      </c>
      <c r="B390" t="str">
        <f>"Условные вклады юридических лиц"</f>
        <v>Условные вклады юридических лиц</v>
      </c>
      <c r="C390" t="str">
        <f>"1"</f>
        <v>1</v>
      </c>
      <c r="D390" t="str">
        <f>"8"</f>
        <v>8</v>
      </c>
      <c r="E390" t="str">
        <f>"1"</f>
        <v>1</v>
      </c>
      <c r="F390" s="2">
        <v>193000</v>
      </c>
    </row>
    <row r="391" spans="1:6" x14ac:dyDescent="0.25">
      <c r="A391">
        <v>2219</v>
      </c>
      <c r="B391" t="str">
        <f>"Условные вклады юридических лиц"</f>
        <v>Условные вклады юридических лиц</v>
      </c>
      <c r="C391" t="str">
        <f>"1"</f>
        <v>1</v>
      </c>
      <c r="D391" t="str">
        <f>"7"</f>
        <v>7</v>
      </c>
      <c r="E391" t="str">
        <f>"2"</f>
        <v>2</v>
      </c>
      <c r="F391" s="2">
        <v>171312.33</v>
      </c>
    </row>
    <row r="392" spans="1:6" x14ac:dyDescent="0.25">
      <c r="A392">
        <v>2219</v>
      </c>
      <c r="B392" t="str">
        <f>"Условные вклады юридических лиц"</f>
        <v>Условные вклады юридических лиц</v>
      </c>
      <c r="C392" t="str">
        <f>"2"</f>
        <v>2</v>
      </c>
      <c r="D392" t="str">
        <f>"7"</f>
        <v>7</v>
      </c>
      <c r="E392" t="str">
        <f>"1"</f>
        <v>1</v>
      </c>
      <c r="F392" s="2">
        <v>958371.97</v>
      </c>
    </row>
    <row r="393" spans="1:6" x14ac:dyDescent="0.25">
      <c r="A393">
        <v>2220</v>
      </c>
      <c r="B393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93" t="str">
        <f t="shared" ref="C393:C401" si="42">"1"</f>
        <v>1</v>
      </c>
      <c r="D393" t="str">
        <f>"7"</f>
        <v>7</v>
      </c>
      <c r="E393" t="str">
        <f>"1"</f>
        <v>1</v>
      </c>
      <c r="F393" s="2">
        <v>2732004409</v>
      </c>
    </row>
    <row r="394" spans="1:6" x14ac:dyDescent="0.25">
      <c r="A394">
        <v>2220</v>
      </c>
      <c r="B394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94" t="str">
        <f t="shared" si="42"/>
        <v>1</v>
      </c>
      <c r="D394" t="str">
        <f>"7"</f>
        <v>7</v>
      </c>
      <c r="E394" t="str">
        <f>"2"</f>
        <v>2</v>
      </c>
      <c r="F394" s="2">
        <v>138354247.03999999</v>
      </c>
    </row>
    <row r="395" spans="1:6" x14ac:dyDescent="0.25">
      <c r="A395">
        <v>2220</v>
      </c>
      <c r="B395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95" t="str">
        <f t="shared" si="42"/>
        <v>1</v>
      </c>
      <c r="D395" t="str">
        <f>"6"</f>
        <v>6</v>
      </c>
      <c r="E395" t="str">
        <f>"1"</f>
        <v>1</v>
      </c>
      <c r="F395" s="2">
        <v>80000000</v>
      </c>
    </row>
    <row r="396" spans="1:6" x14ac:dyDescent="0.25">
      <c r="A396">
        <v>2220</v>
      </c>
      <c r="B396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396" t="str">
        <f t="shared" si="42"/>
        <v>1</v>
      </c>
      <c r="D396" t="str">
        <f>"8"</f>
        <v>8</v>
      </c>
      <c r="E396" t="str">
        <f>"1"</f>
        <v>1</v>
      </c>
      <c r="F396" s="2">
        <v>102000000</v>
      </c>
    </row>
    <row r="397" spans="1:6" x14ac:dyDescent="0.25">
      <c r="A397">
        <v>2223</v>
      </c>
      <c r="B397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97" t="str">
        <f t="shared" si="42"/>
        <v>1</v>
      </c>
      <c r="D397" t="str">
        <f>"5"</f>
        <v>5</v>
      </c>
      <c r="E397" t="str">
        <f>"1"</f>
        <v>1</v>
      </c>
      <c r="F397" s="2">
        <v>1055858900.11</v>
      </c>
    </row>
    <row r="398" spans="1:6" x14ac:dyDescent="0.25">
      <c r="A398">
        <v>2223</v>
      </c>
      <c r="B39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98" t="str">
        <f t="shared" si="42"/>
        <v>1</v>
      </c>
      <c r="D398" t="str">
        <f>"7"</f>
        <v>7</v>
      </c>
      <c r="E398" t="str">
        <f>"1"</f>
        <v>1</v>
      </c>
      <c r="F398" s="2">
        <v>6583771811.6899996</v>
      </c>
    </row>
    <row r="399" spans="1:6" x14ac:dyDescent="0.25">
      <c r="A399">
        <v>2223</v>
      </c>
      <c r="B39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399" t="str">
        <f t="shared" si="42"/>
        <v>1</v>
      </c>
      <c r="D399" t="str">
        <f>"7"</f>
        <v>7</v>
      </c>
      <c r="E399" t="str">
        <f>"2"</f>
        <v>2</v>
      </c>
      <c r="F399" s="2">
        <v>1038488830</v>
      </c>
    </row>
    <row r="400" spans="1:6" x14ac:dyDescent="0.25">
      <c r="A400">
        <v>2227</v>
      </c>
      <c r="B400" t="str">
        <f>"Обязательства по аренде"</f>
        <v>Обязательства по аренде</v>
      </c>
      <c r="C400" t="str">
        <f t="shared" si="42"/>
        <v>1</v>
      </c>
      <c r="D400" t="str">
        <f>"7"</f>
        <v>7</v>
      </c>
      <c r="E400" t="str">
        <f>"1"</f>
        <v>1</v>
      </c>
      <c r="F400" s="2">
        <v>2550169334.1599998</v>
      </c>
    </row>
    <row r="401" spans="1:6" x14ac:dyDescent="0.25">
      <c r="A401">
        <v>2229</v>
      </c>
      <c r="B401" t="str">
        <f>"Сберегательные вклады физических лиц (более одного года)"</f>
        <v>Сберегательные вклады физических лиц (более одного года)</v>
      </c>
      <c r="C401" t="str">
        <f t="shared" si="42"/>
        <v>1</v>
      </c>
      <c r="D401" t="str">
        <f>"9"</f>
        <v>9</v>
      </c>
      <c r="E401" t="str">
        <f>"1"</f>
        <v>1</v>
      </c>
      <c r="F401" s="2">
        <v>11042575056.030001</v>
      </c>
    </row>
    <row r="402" spans="1:6" x14ac:dyDescent="0.25">
      <c r="A402">
        <v>2229</v>
      </c>
      <c r="B402" t="str">
        <f>"Сберегательные вклады физических лиц (более одного года)"</f>
        <v>Сберегательные вклады физических лиц (более одного года)</v>
      </c>
      <c r="C402" t="str">
        <f>"2"</f>
        <v>2</v>
      </c>
      <c r="D402" t="str">
        <f>"9"</f>
        <v>9</v>
      </c>
      <c r="E402" t="str">
        <f>"1"</f>
        <v>1</v>
      </c>
      <c r="F402" s="2">
        <v>135486376.84999999</v>
      </c>
    </row>
    <row r="403" spans="1:6" x14ac:dyDescent="0.25">
      <c r="A403">
        <v>2237</v>
      </c>
      <c r="B403" t="str">
        <f t="shared" ref="B403:B416" si="4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403" t="str">
        <f t="shared" ref="C403:C408" si="44">"1"</f>
        <v>1</v>
      </c>
      <c r="D403" t="str">
        <f>"5"</f>
        <v>5</v>
      </c>
      <c r="E403" t="str">
        <f>"2"</f>
        <v>2</v>
      </c>
      <c r="F403" s="2">
        <v>10917672.41</v>
      </c>
    </row>
    <row r="404" spans="1:6" x14ac:dyDescent="0.25">
      <c r="A404">
        <v>2237</v>
      </c>
      <c r="B404" t="str">
        <f t="shared" si="43"/>
        <v>Счет хранения указаний отправителя в соответствии с валютным законодательством Республики Казахстан</v>
      </c>
      <c r="C404" t="str">
        <f t="shared" si="44"/>
        <v>1</v>
      </c>
      <c r="D404" t="str">
        <f>"7"</f>
        <v>7</v>
      </c>
      <c r="E404" t="str">
        <f>"1"</f>
        <v>1</v>
      </c>
      <c r="F404" s="2">
        <v>14083433.060000001</v>
      </c>
    </row>
    <row r="405" spans="1:6" x14ac:dyDescent="0.25">
      <c r="A405">
        <v>2237</v>
      </c>
      <c r="B405" t="str">
        <f t="shared" si="43"/>
        <v>Счет хранения указаний отправителя в соответствии с валютным законодательством Республики Казахстан</v>
      </c>
      <c r="C405" t="str">
        <f t="shared" si="44"/>
        <v>1</v>
      </c>
      <c r="D405" t="str">
        <f>"7"</f>
        <v>7</v>
      </c>
      <c r="E405" t="str">
        <f>"2"</f>
        <v>2</v>
      </c>
      <c r="F405" s="2">
        <v>4584344488.9399996</v>
      </c>
    </row>
    <row r="406" spans="1:6" x14ac:dyDescent="0.25">
      <c r="A406">
        <v>2237</v>
      </c>
      <c r="B406" t="str">
        <f t="shared" si="43"/>
        <v>Счет хранения указаний отправителя в соответствии с валютным законодательством Республики Казахстан</v>
      </c>
      <c r="C406" t="str">
        <f t="shared" si="44"/>
        <v>1</v>
      </c>
      <c r="D406" t="str">
        <f>"7"</f>
        <v>7</v>
      </c>
      <c r="E406" t="str">
        <f>"3"</f>
        <v>3</v>
      </c>
      <c r="F406" s="2">
        <v>21940089.640000001</v>
      </c>
    </row>
    <row r="407" spans="1:6" x14ac:dyDescent="0.25">
      <c r="A407">
        <v>2237</v>
      </c>
      <c r="B407" t="str">
        <f t="shared" si="43"/>
        <v>Счет хранения указаний отправителя в соответствии с валютным законодательством Республики Казахстан</v>
      </c>
      <c r="C407" t="str">
        <f t="shared" si="44"/>
        <v>1</v>
      </c>
      <c r="D407" t="str">
        <f>"8"</f>
        <v>8</v>
      </c>
      <c r="E407" t="str">
        <f>"1"</f>
        <v>1</v>
      </c>
      <c r="F407" s="2">
        <v>400000</v>
      </c>
    </row>
    <row r="408" spans="1:6" x14ac:dyDescent="0.25">
      <c r="A408">
        <v>2237</v>
      </c>
      <c r="B408" t="str">
        <f t="shared" si="43"/>
        <v>Счет хранения указаний отправителя в соответствии с валютным законодательством Республики Казахстан</v>
      </c>
      <c r="C408" t="str">
        <f t="shared" si="44"/>
        <v>1</v>
      </c>
      <c r="D408" t="str">
        <f>"9"</f>
        <v>9</v>
      </c>
      <c r="E408" t="str">
        <f>"3"</f>
        <v>3</v>
      </c>
      <c r="F408" s="2">
        <v>6039997.7400000002</v>
      </c>
    </row>
    <row r="409" spans="1:6" x14ac:dyDescent="0.25">
      <c r="A409">
        <v>2237</v>
      </c>
      <c r="B409" t="str">
        <f t="shared" si="43"/>
        <v>Счет хранения указаний отправителя в соответствии с валютным законодательством Республики Казахстан</v>
      </c>
      <c r="C409" t="str">
        <f>"2"</f>
        <v>2</v>
      </c>
      <c r="D409" t="str">
        <f>"1"</f>
        <v>1</v>
      </c>
      <c r="E409" t="str">
        <f>"1"</f>
        <v>1</v>
      </c>
      <c r="F409" s="2">
        <v>34690</v>
      </c>
    </row>
    <row r="410" spans="1:6" x14ac:dyDescent="0.25">
      <c r="A410">
        <v>2237</v>
      </c>
      <c r="B410" t="str">
        <f t="shared" si="43"/>
        <v>Счет хранения указаний отправителя в соответствии с валютным законодательством Республики Казахстан</v>
      </c>
      <c r="C410" t="str">
        <f>"1"</f>
        <v>1</v>
      </c>
      <c r="D410" t="str">
        <f>"6"</f>
        <v>6</v>
      </c>
      <c r="E410" t="str">
        <f>"2"</f>
        <v>2</v>
      </c>
      <c r="F410" s="2">
        <v>6746260.5999999996</v>
      </c>
    </row>
    <row r="411" spans="1:6" x14ac:dyDescent="0.25">
      <c r="A411">
        <v>2237</v>
      </c>
      <c r="B411" t="str">
        <f t="shared" si="43"/>
        <v>Счет хранения указаний отправителя в соответствии с валютным законодательством Республики Казахстан</v>
      </c>
      <c r="C411" t="str">
        <f>"1"</f>
        <v>1</v>
      </c>
      <c r="D411" t="str">
        <f>"9"</f>
        <v>9</v>
      </c>
      <c r="E411" t="str">
        <f>"1"</f>
        <v>1</v>
      </c>
      <c r="F411" s="2">
        <v>1679440.15</v>
      </c>
    </row>
    <row r="412" spans="1:6" x14ac:dyDescent="0.25">
      <c r="A412">
        <v>2237</v>
      </c>
      <c r="B412" t="str">
        <f t="shared" si="43"/>
        <v>Счет хранения указаний отправителя в соответствии с валютным законодательством Республики Казахстан</v>
      </c>
      <c r="C412" t="str">
        <f>"2"</f>
        <v>2</v>
      </c>
      <c r="D412" t="str">
        <f>"7"</f>
        <v>7</v>
      </c>
      <c r="E412" t="str">
        <f>"1"</f>
        <v>1</v>
      </c>
      <c r="F412" s="2">
        <v>600000</v>
      </c>
    </row>
    <row r="413" spans="1:6" x14ac:dyDescent="0.25">
      <c r="A413">
        <v>2237</v>
      </c>
      <c r="B413" t="str">
        <f t="shared" si="43"/>
        <v>Счет хранения указаний отправителя в соответствии с валютным законодательством Республики Казахстан</v>
      </c>
      <c r="C413" t="str">
        <f>"1"</f>
        <v>1</v>
      </c>
      <c r="D413" t="str">
        <f>"8"</f>
        <v>8</v>
      </c>
      <c r="E413" t="str">
        <f>"3"</f>
        <v>3</v>
      </c>
      <c r="F413" s="2">
        <v>476035.2</v>
      </c>
    </row>
    <row r="414" spans="1:6" x14ac:dyDescent="0.25">
      <c r="A414">
        <v>2237</v>
      </c>
      <c r="B414" t="str">
        <f t="shared" si="43"/>
        <v>Счет хранения указаний отправителя в соответствии с валютным законодательством Республики Казахстан</v>
      </c>
      <c r="C414" t="str">
        <f>"1"</f>
        <v>1</v>
      </c>
      <c r="D414" t="str">
        <f>"9"</f>
        <v>9</v>
      </c>
      <c r="E414" t="str">
        <f>"2"</f>
        <v>2</v>
      </c>
      <c r="F414" s="2">
        <v>507708871.60000002</v>
      </c>
    </row>
    <row r="415" spans="1:6" x14ac:dyDescent="0.25">
      <c r="A415">
        <v>2237</v>
      </c>
      <c r="B415" t="str">
        <f t="shared" si="43"/>
        <v>Счет хранения указаний отправителя в соответствии с валютным законодательством Республики Казахстан</v>
      </c>
      <c r="C415" t="str">
        <f>"1"</f>
        <v>1</v>
      </c>
      <c r="D415" t="str">
        <f>"5"</f>
        <v>5</v>
      </c>
      <c r="E415" t="str">
        <f>"3"</f>
        <v>3</v>
      </c>
      <c r="F415" s="2">
        <v>1724.43</v>
      </c>
    </row>
    <row r="416" spans="1:6" x14ac:dyDescent="0.25">
      <c r="A416">
        <v>2237</v>
      </c>
      <c r="B416" t="str">
        <f t="shared" si="43"/>
        <v>Счет хранения указаний отправителя в соответствии с валютным законодательством Республики Казахстан</v>
      </c>
      <c r="C416" t="str">
        <f>"2"</f>
        <v>2</v>
      </c>
      <c r="D416" t="str">
        <f>"7"</f>
        <v>7</v>
      </c>
      <c r="E416" t="str">
        <f>"2"</f>
        <v>2</v>
      </c>
      <c r="F416" s="2">
        <v>1950372919.74</v>
      </c>
    </row>
    <row r="417" spans="1:6" x14ac:dyDescent="0.25">
      <c r="A417">
        <v>2240</v>
      </c>
      <c r="B417" t="str">
        <f t="shared" ref="B417:B424" si="45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417" t="str">
        <f>"1"</f>
        <v>1</v>
      </c>
      <c r="D417" t="str">
        <f>"6"</f>
        <v>6</v>
      </c>
      <c r="E417" t="str">
        <f>"1"</f>
        <v>1</v>
      </c>
      <c r="F417" s="2">
        <v>4243600.1900000004</v>
      </c>
    </row>
    <row r="418" spans="1:6" x14ac:dyDescent="0.25">
      <c r="A418">
        <v>2240</v>
      </c>
      <c r="B418" t="str">
        <f t="shared" si="45"/>
        <v>Счет хранения денег, принятых в качестве обеспечения (заклад, задаток) обязательств клиентов</v>
      </c>
      <c r="C418" t="str">
        <f>"1"</f>
        <v>1</v>
      </c>
      <c r="D418" t="str">
        <f>"7"</f>
        <v>7</v>
      </c>
      <c r="E418" t="str">
        <f>"1"</f>
        <v>1</v>
      </c>
      <c r="F418" s="2">
        <v>1088491842.8499999</v>
      </c>
    </row>
    <row r="419" spans="1:6" x14ac:dyDescent="0.25">
      <c r="A419">
        <v>2240</v>
      </c>
      <c r="B419" t="str">
        <f t="shared" si="45"/>
        <v>Счет хранения денег, принятых в качестве обеспечения (заклад, задаток) обязательств клиентов</v>
      </c>
      <c r="C419" t="str">
        <f>"1"</f>
        <v>1</v>
      </c>
      <c r="D419" t="str">
        <f>"8"</f>
        <v>8</v>
      </c>
      <c r="E419" t="str">
        <f>"1"</f>
        <v>1</v>
      </c>
      <c r="F419" s="2">
        <v>284546.25</v>
      </c>
    </row>
    <row r="420" spans="1:6" x14ac:dyDescent="0.25">
      <c r="A420">
        <v>2240</v>
      </c>
      <c r="B420" t="str">
        <f t="shared" si="45"/>
        <v>Счет хранения денег, принятых в качестве обеспечения (заклад, задаток) обязательств клиентов</v>
      </c>
      <c r="C420" t="str">
        <f>"1"</f>
        <v>1</v>
      </c>
      <c r="D420" t="str">
        <f>"7"</f>
        <v>7</v>
      </c>
      <c r="E420" t="str">
        <f>"2"</f>
        <v>2</v>
      </c>
      <c r="F420" s="2">
        <v>40902300</v>
      </c>
    </row>
    <row r="421" spans="1:6" x14ac:dyDescent="0.25">
      <c r="A421">
        <v>2240</v>
      </c>
      <c r="B421" t="str">
        <f t="shared" si="45"/>
        <v>Счет хранения денег, принятых в качестве обеспечения (заклад, задаток) обязательств клиентов</v>
      </c>
      <c r="C421" t="str">
        <f>"2"</f>
        <v>2</v>
      </c>
      <c r="D421" t="str">
        <f>"9"</f>
        <v>9</v>
      </c>
      <c r="E421" t="str">
        <f>"1"</f>
        <v>1</v>
      </c>
      <c r="F421" s="2">
        <v>2182725</v>
      </c>
    </row>
    <row r="422" spans="1:6" x14ac:dyDescent="0.25">
      <c r="A422">
        <v>2240</v>
      </c>
      <c r="B422" t="str">
        <f t="shared" si="45"/>
        <v>Счет хранения денег, принятых в качестве обеспечения (заклад, задаток) обязательств клиентов</v>
      </c>
      <c r="C422" t="str">
        <f>"1"</f>
        <v>1</v>
      </c>
      <c r="D422" t="str">
        <f>"9"</f>
        <v>9</v>
      </c>
      <c r="E422" t="str">
        <f>"2"</f>
        <v>2</v>
      </c>
      <c r="F422" s="2">
        <v>4300296.2</v>
      </c>
    </row>
    <row r="423" spans="1:6" x14ac:dyDescent="0.25">
      <c r="A423">
        <v>2240</v>
      </c>
      <c r="B423" t="str">
        <f t="shared" si="45"/>
        <v>Счет хранения денег, принятых в качестве обеспечения (заклад, задаток) обязательств клиентов</v>
      </c>
      <c r="C423" t="str">
        <f>"2"</f>
        <v>2</v>
      </c>
      <c r="D423" t="str">
        <f>"9"</f>
        <v>9</v>
      </c>
      <c r="E423" t="str">
        <f>"2"</f>
        <v>2</v>
      </c>
      <c r="F423" s="2">
        <v>650133624.79999995</v>
      </c>
    </row>
    <row r="424" spans="1:6" x14ac:dyDescent="0.25">
      <c r="A424">
        <v>2240</v>
      </c>
      <c r="B424" t="str">
        <f t="shared" si="45"/>
        <v>Счет хранения денег, принятых в качестве обеспечения (заклад, задаток) обязательств клиентов</v>
      </c>
      <c r="C424" t="str">
        <f t="shared" ref="C424:C438" si="46">"1"</f>
        <v>1</v>
      </c>
      <c r="D424" t="str">
        <f>"9"</f>
        <v>9</v>
      </c>
      <c r="E424" t="str">
        <f t="shared" ref="E424:E433" si="47">"1"</f>
        <v>1</v>
      </c>
      <c r="F424" s="2">
        <v>197678707.33000001</v>
      </c>
    </row>
    <row r="425" spans="1:6" x14ac:dyDescent="0.25">
      <c r="A425">
        <v>2301</v>
      </c>
      <c r="B425" t="str">
        <f>"Выпущенные в обращение облигации"</f>
        <v>Выпущенные в обращение облигации</v>
      </c>
      <c r="C425" t="str">
        <f t="shared" si="46"/>
        <v>1</v>
      </c>
      <c r="D425" t="str">
        <f t="shared" ref="D425:D431" si="48">"5"</f>
        <v>5</v>
      </c>
      <c r="E425" t="str">
        <f t="shared" si="47"/>
        <v>1</v>
      </c>
      <c r="F425" s="2">
        <v>16219642700</v>
      </c>
    </row>
    <row r="426" spans="1:6" x14ac:dyDescent="0.25">
      <c r="A426">
        <v>2304</v>
      </c>
      <c r="B426" t="str">
        <f>"Премия по выпущенным в обращение ценным бумагам"</f>
        <v>Премия по выпущенным в обращение ценным бумагам</v>
      </c>
      <c r="C426" t="str">
        <f t="shared" si="46"/>
        <v>1</v>
      </c>
      <c r="D426" t="str">
        <f t="shared" si="48"/>
        <v>5</v>
      </c>
      <c r="E426" t="str">
        <f t="shared" si="47"/>
        <v>1</v>
      </c>
      <c r="F426" s="2">
        <v>113880506.06999999</v>
      </c>
    </row>
    <row r="427" spans="1:6" x14ac:dyDescent="0.25">
      <c r="A427">
        <v>2305</v>
      </c>
      <c r="B427" t="str">
        <f>"Дисконт по выпущенным в обращение ценным бумагам"</f>
        <v>Дисконт по выпущенным в обращение ценным бумагам</v>
      </c>
      <c r="C427" t="str">
        <f t="shared" si="46"/>
        <v>1</v>
      </c>
      <c r="D427" t="str">
        <f t="shared" si="48"/>
        <v>5</v>
      </c>
      <c r="E427" t="str">
        <f t="shared" si="47"/>
        <v>1</v>
      </c>
      <c r="F427" s="2">
        <v>-275318709.11000001</v>
      </c>
    </row>
    <row r="428" spans="1:6" x14ac:dyDescent="0.25">
      <c r="A428">
        <v>2306</v>
      </c>
      <c r="B428" t="str">
        <f>"Выкупленные облигации"</f>
        <v>Выкупленные облигации</v>
      </c>
      <c r="C428" t="str">
        <f t="shared" si="46"/>
        <v>1</v>
      </c>
      <c r="D428" t="str">
        <f t="shared" si="48"/>
        <v>5</v>
      </c>
      <c r="E428" t="str">
        <f t="shared" si="47"/>
        <v>1</v>
      </c>
      <c r="F428" s="2">
        <v>-160930000</v>
      </c>
    </row>
    <row r="429" spans="1:6" x14ac:dyDescent="0.25">
      <c r="A429">
        <v>2404</v>
      </c>
      <c r="B42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C429" t="str">
        <f t="shared" si="46"/>
        <v>1</v>
      </c>
      <c r="D429" t="str">
        <f t="shared" si="48"/>
        <v>5</v>
      </c>
      <c r="E429" t="str">
        <f t="shared" si="47"/>
        <v>1</v>
      </c>
      <c r="F429" s="2">
        <v>-98759622775.210007</v>
      </c>
    </row>
    <row r="430" spans="1:6" x14ac:dyDescent="0.25">
      <c r="A430">
        <v>2405</v>
      </c>
      <c r="B430" t="str">
        <f>"Выкупленные субординированные облигации"</f>
        <v>Выкупленные субординированные облигации</v>
      </c>
      <c r="C430" t="str">
        <f t="shared" si="46"/>
        <v>1</v>
      </c>
      <c r="D430" t="str">
        <f t="shared" si="48"/>
        <v>5</v>
      </c>
      <c r="E430" t="str">
        <f t="shared" si="47"/>
        <v>1</v>
      </c>
      <c r="F430" s="2">
        <v>-40450000</v>
      </c>
    </row>
    <row r="431" spans="1:6" x14ac:dyDescent="0.25">
      <c r="A431">
        <v>2406</v>
      </c>
      <c r="B431" t="str">
        <f>"Субординированные облигации"</f>
        <v>Субординированные облигации</v>
      </c>
      <c r="C431" t="str">
        <f t="shared" si="46"/>
        <v>1</v>
      </c>
      <c r="D431" t="str">
        <f t="shared" si="48"/>
        <v>5</v>
      </c>
      <c r="E431" t="str">
        <f t="shared" si="47"/>
        <v>1</v>
      </c>
      <c r="F431" s="2">
        <v>167510000000</v>
      </c>
    </row>
    <row r="432" spans="1:6" x14ac:dyDescent="0.25">
      <c r="A432">
        <v>2551</v>
      </c>
      <c r="B432" t="str">
        <f>"Расчеты с другими банками"</f>
        <v>Расчеты с другими банками</v>
      </c>
      <c r="C432" t="str">
        <f t="shared" si="46"/>
        <v>1</v>
      </c>
      <c r="D432" t="str">
        <f>"4"</f>
        <v>4</v>
      </c>
      <c r="E432" t="str">
        <f t="shared" si="47"/>
        <v>1</v>
      </c>
      <c r="F432" s="2">
        <v>52452887.75</v>
      </c>
    </row>
    <row r="433" spans="1:6" x14ac:dyDescent="0.25">
      <c r="A433">
        <v>2703</v>
      </c>
      <c r="B433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33" t="str">
        <f t="shared" si="46"/>
        <v>1</v>
      </c>
      <c r="D433" t="str">
        <f>"1"</f>
        <v>1</v>
      </c>
      <c r="E433" t="str">
        <f t="shared" si="47"/>
        <v>1</v>
      </c>
      <c r="F433" s="2">
        <v>2532427.36</v>
      </c>
    </row>
    <row r="434" spans="1:6" x14ac:dyDescent="0.25">
      <c r="A434">
        <v>2703</v>
      </c>
      <c r="B434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C434" t="str">
        <f t="shared" si="46"/>
        <v>1</v>
      </c>
      <c r="D434" t="str">
        <f>"1"</f>
        <v>1</v>
      </c>
      <c r="E434" t="str">
        <f>"2"</f>
        <v>2</v>
      </c>
      <c r="F434" s="2">
        <v>3027436.16</v>
      </c>
    </row>
    <row r="435" spans="1:6" x14ac:dyDescent="0.25">
      <c r="A435">
        <v>2705</v>
      </c>
      <c r="B435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435" t="str">
        <f t="shared" si="46"/>
        <v>1</v>
      </c>
      <c r="D435" t="str">
        <f>"4"</f>
        <v>4</v>
      </c>
      <c r="E435" t="str">
        <f>"1"</f>
        <v>1</v>
      </c>
      <c r="F435" s="2">
        <v>31284209.760000002</v>
      </c>
    </row>
    <row r="436" spans="1:6" x14ac:dyDescent="0.25">
      <c r="A436">
        <v>2706</v>
      </c>
      <c r="B436" t="str">
        <f>"Начисленные расходы по займам и финансовому лизингу"</f>
        <v>Начисленные расходы по займам и финансовому лизингу</v>
      </c>
      <c r="C436" t="str">
        <f t="shared" si="46"/>
        <v>1</v>
      </c>
      <c r="D436" t="str">
        <f>"5"</f>
        <v>5</v>
      </c>
      <c r="E436" t="str">
        <f>"1"</f>
        <v>1</v>
      </c>
      <c r="F436" s="2">
        <v>188729458.03</v>
      </c>
    </row>
    <row r="437" spans="1:6" x14ac:dyDescent="0.25">
      <c r="A437">
        <v>2718</v>
      </c>
      <c r="B437" t="str">
        <f>"Начисленные расходы по текущим счетам клиентов"</f>
        <v>Начисленные расходы по текущим счетам клиентов</v>
      </c>
      <c r="C437" t="str">
        <f t="shared" si="46"/>
        <v>1</v>
      </c>
      <c r="D437" t="str">
        <f>"9"</f>
        <v>9</v>
      </c>
      <c r="E437" t="str">
        <f>"1"</f>
        <v>1</v>
      </c>
      <c r="F437" s="2">
        <v>13321.27</v>
      </c>
    </row>
    <row r="438" spans="1:6" x14ac:dyDescent="0.25">
      <c r="A438">
        <v>2718</v>
      </c>
      <c r="B438" t="str">
        <f>"Начисленные расходы по текущим счетам клиентов"</f>
        <v>Начисленные расходы по текущим счетам клиентов</v>
      </c>
      <c r="C438" t="str">
        <f t="shared" si="46"/>
        <v>1</v>
      </c>
      <c r="D438" t="str">
        <f>"9"</f>
        <v>9</v>
      </c>
      <c r="E438" t="str">
        <f>"2"</f>
        <v>2</v>
      </c>
      <c r="F438" s="2">
        <v>7549.81</v>
      </c>
    </row>
    <row r="439" spans="1:6" x14ac:dyDescent="0.25">
      <c r="A439">
        <v>2718</v>
      </c>
      <c r="B439" t="str">
        <f>"Начисленные расходы по текущим счетам клиентов"</f>
        <v>Начисленные расходы по текущим счетам клиентов</v>
      </c>
      <c r="C439" t="str">
        <f>"2"</f>
        <v>2</v>
      </c>
      <c r="D439" t="str">
        <f>"9"</f>
        <v>9</v>
      </c>
      <c r="E439" t="str">
        <f>"1"</f>
        <v>1</v>
      </c>
      <c r="F439" s="2">
        <v>16.559999999999999</v>
      </c>
    </row>
    <row r="440" spans="1:6" x14ac:dyDescent="0.25">
      <c r="A440">
        <v>2718</v>
      </c>
      <c r="B440" t="str">
        <f>"Начисленные расходы по текущим счетам клиентов"</f>
        <v>Начисленные расходы по текущим счетам клиентов</v>
      </c>
      <c r="C440" t="str">
        <f>"1"</f>
        <v>1</v>
      </c>
      <c r="D440" t="str">
        <f>"9"</f>
        <v>9</v>
      </c>
      <c r="E440" t="str">
        <f>"3"</f>
        <v>3</v>
      </c>
      <c r="F440" s="2">
        <v>1.79</v>
      </c>
    </row>
    <row r="441" spans="1:6" x14ac:dyDescent="0.25">
      <c r="A441">
        <v>2719</v>
      </c>
      <c r="B441" t="str">
        <f t="shared" ref="B441:B447" si="49">"Начисленные расходы по условным вкладам клиентов"</f>
        <v>Начисленные расходы по условным вкладам клиентов</v>
      </c>
      <c r="C441" t="str">
        <f>"2"</f>
        <v>2</v>
      </c>
      <c r="D441" t="str">
        <f>"7"</f>
        <v>7</v>
      </c>
      <c r="E441" t="str">
        <f>"1"</f>
        <v>1</v>
      </c>
      <c r="F441" s="2">
        <v>738.12</v>
      </c>
    </row>
    <row r="442" spans="1:6" x14ac:dyDescent="0.25">
      <c r="A442">
        <v>2719</v>
      </c>
      <c r="B442" t="str">
        <f t="shared" si="49"/>
        <v>Начисленные расходы по условным вкладам клиентов</v>
      </c>
      <c r="C442" t="str">
        <f>"1"</f>
        <v>1</v>
      </c>
      <c r="D442" t="str">
        <f>"7"</f>
        <v>7</v>
      </c>
      <c r="E442" t="str">
        <f>"1"</f>
        <v>1</v>
      </c>
      <c r="F442" s="2">
        <v>19314.900000000001</v>
      </c>
    </row>
    <row r="443" spans="1:6" x14ac:dyDescent="0.25">
      <c r="A443">
        <v>2719</v>
      </c>
      <c r="B443" t="str">
        <f t="shared" si="49"/>
        <v>Начисленные расходы по условным вкладам клиентов</v>
      </c>
      <c r="C443" t="str">
        <f>"1"</f>
        <v>1</v>
      </c>
      <c r="D443" t="str">
        <f>"7"</f>
        <v>7</v>
      </c>
      <c r="E443" t="str">
        <f>"2"</f>
        <v>2</v>
      </c>
      <c r="F443" s="2">
        <v>2651.25</v>
      </c>
    </row>
    <row r="444" spans="1:6" x14ac:dyDescent="0.25">
      <c r="A444">
        <v>2719</v>
      </c>
      <c r="B444" t="str">
        <f t="shared" si="49"/>
        <v>Начисленные расходы по условным вкладам клиентов</v>
      </c>
      <c r="C444" t="str">
        <f>"1"</f>
        <v>1</v>
      </c>
      <c r="D444" t="str">
        <f>"8"</f>
        <v>8</v>
      </c>
      <c r="E444" t="str">
        <f>"1"</f>
        <v>1</v>
      </c>
      <c r="F444" s="2">
        <v>109.52</v>
      </c>
    </row>
    <row r="445" spans="1:6" x14ac:dyDescent="0.25">
      <c r="A445">
        <v>2719</v>
      </c>
      <c r="B445" t="str">
        <f t="shared" si="49"/>
        <v>Начисленные расходы по условным вкладам клиентов</v>
      </c>
      <c r="C445" t="str">
        <f>"1"</f>
        <v>1</v>
      </c>
      <c r="D445" t="str">
        <f>"9"</f>
        <v>9</v>
      </c>
      <c r="E445" t="str">
        <f>"1"</f>
        <v>1</v>
      </c>
      <c r="F445" s="2">
        <v>714997.57</v>
      </c>
    </row>
    <row r="446" spans="1:6" x14ac:dyDescent="0.25">
      <c r="A446">
        <v>2719</v>
      </c>
      <c r="B446" t="str">
        <f t="shared" si="49"/>
        <v>Начисленные расходы по условным вкладам клиентов</v>
      </c>
      <c r="C446" t="str">
        <f>"1"</f>
        <v>1</v>
      </c>
      <c r="D446" t="str">
        <f>"9"</f>
        <v>9</v>
      </c>
      <c r="E446" t="str">
        <f>"2"</f>
        <v>2</v>
      </c>
      <c r="F446" s="2">
        <v>1938000.44</v>
      </c>
    </row>
    <row r="447" spans="1:6" x14ac:dyDescent="0.25">
      <c r="A447">
        <v>2719</v>
      </c>
      <c r="B447" t="str">
        <f t="shared" si="49"/>
        <v>Начисленные расходы по условным вкладам клиентов</v>
      </c>
      <c r="C447" t="str">
        <f>"2"</f>
        <v>2</v>
      </c>
      <c r="D447" t="str">
        <f>"7"</f>
        <v>7</v>
      </c>
      <c r="E447" t="str">
        <f>"2"</f>
        <v>2</v>
      </c>
      <c r="F447" s="2">
        <v>328.17</v>
      </c>
    </row>
    <row r="448" spans="1:6" x14ac:dyDescent="0.25">
      <c r="A448">
        <v>2720</v>
      </c>
      <c r="B448" t="str">
        <f t="shared" ref="B448:B453" si="50">"Начисленные расходы по вкладам до востребования клиентов"</f>
        <v>Начисленные расходы по вкладам до востребования клиентов</v>
      </c>
      <c r="C448" t="str">
        <f>"1"</f>
        <v>1</v>
      </c>
      <c r="D448" t="str">
        <f>"7"</f>
        <v>7</v>
      </c>
      <c r="E448" t="str">
        <f>"1"</f>
        <v>1</v>
      </c>
      <c r="F448" s="2">
        <v>69419.7</v>
      </c>
    </row>
    <row r="449" spans="1:6" x14ac:dyDescent="0.25">
      <c r="A449">
        <v>2720</v>
      </c>
      <c r="B449" t="str">
        <f t="shared" si="50"/>
        <v>Начисленные расходы по вкладам до востребования клиентов</v>
      </c>
      <c r="C449" t="str">
        <f>"1"</f>
        <v>1</v>
      </c>
      <c r="D449" t="str">
        <f>"7"</f>
        <v>7</v>
      </c>
      <c r="E449" t="str">
        <f>"2"</f>
        <v>2</v>
      </c>
      <c r="F449" s="2">
        <v>60.45</v>
      </c>
    </row>
    <row r="450" spans="1:6" x14ac:dyDescent="0.25">
      <c r="A450">
        <v>2720</v>
      </c>
      <c r="B450" t="str">
        <f t="shared" si="50"/>
        <v>Начисленные расходы по вкладам до востребования клиентов</v>
      </c>
      <c r="C450" t="str">
        <f>"1"</f>
        <v>1</v>
      </c>
      <c r="D450" t="str">
        <f>"5"</f>
        <v>5</v>
      </c>
      <c r="E450" t="str">
        <f>"1"</f>
        <v>1</v>
      </c>
      <c r="F450" s="2">
        <v>1.07</v>
      </c>
    </row>
    <row r="451" spans="1:6" x14ac:dyDescent="0.25">
      <c r="A451">
        <v>2720</v>
      </c>
      <c r="B451" t="str">
        <f t="shared" si="50"/>
        <v>Начисленные расходы по вкладам до востребования клиентов</v>
      </c>
      <c r="C451" t="str">
        <f>"1"</f>
        <v>1</v>
      </c>
      <c r="D451" t="str">
        <f>"9"</f>
        <v>9</v>
      </c>
      <c r="E451" t="str">
        <f>"3"</f>
        <v>3</v>
      </c>
      <c r="F451" s="2">
        <v>2.36</v>
      </c>
    </row>
    <row r="452" spans="1:6" x14ac:dyDescent="0.25">
      <c r="A452">
        <v>2720</v>
      </c>
      <c r="B452" t="str">
        <f t="shared" si="50"/>
        <v>Начисленные расходы по вкладам до востребования клиентов</v>
      </c>
      <c r="C452" t="str">
        <f>"2"</f>
        <v>2</v>
      </c>
      <c r="D452" t="str">
        <f>"9"</f>
        <v>9</v>
      </c>
      <c r="E452" t="str">
        <f>"1"</f>
        <v>1</v>
      </c>
      <c r="F452" s="2">
        <v>3.92</v>
      </c>
    </row>
    <row r="453" spans="1:6" x14ac:dyDescent="0.25">
      <c r="A453">
        <v>2720</v>
      </c>
      <c r="B453" t="str">
        <f t="shared" si="50"/>
        <v>Начисленные расходы по вкладам до востребования клиентов</v>
      </c>
      <c r="C453" t="str">
        <f t="shared" ref="C453:C462" si="51">"1"</f>
        <v>1</v>
      </c>
      <c r="D453" t="str">
        <f>"9"</f>
        <v>9</v>
      </c>
      <c r="E453" t="str">
        <f>"1"</f>
        <v>1</v>
      </c>
      <c r="F453" s="2">
        <v>1643.19</v>
      </c>
    </row>
    <row r="454" spans="1:6" x14ac:dyDescent="0.25">
      <c r="A454">
        <v>2721</v>
      </c>
      <c r="B454" t="str">
        <f t="shared" ref="B454:B471" si="52">"Начисленные расходы по срочным вкладам клиентов"</f>
        <v>Начисленные расходы по срочным вкладам клиентов</v>
      </c>
      <c r="C454" t="str">
        <f t="shared" si="51"/>
        <v>1</v>
      </c>
      <c r="D454" t="str">
        <f>"5"</f>
        <v>5</v>
      </c>
      <c r="E454" t="str">
        <f>"3"</f>
        <v>3</v>
      </c>
      <c r="F454" s="2">
        <v>150793.57</v>
      </c>
    </row>
    <row r="455" spans="1:6" x14ac:dyDescent="0.25">
      <c r="A455">
        <v>2721</v>
      </c>
      <c r="B455" t="str">
        <f t="shared" si="52"/>
        <v>Начисленные расходы по срочным вкладам клиентов</v>
      </c>
      <c r="C455" t="str">
        <f t="shared" si="51"/>
        <v>1</v>
      </c>
      <c r="D455" t="str">
        <f>"6"</f>
        <v>6</v>
      </c>
      <c r="E455" t="str">
        <f>"1"</f>
        <v>1</v>
      </c>
      <c r="F455" s="2">
        <v>89627560.620000005</v>
      </c>
    </row>
    <row r="456" spans="1:6" x14ac:dyDescent="0.25">
      <c r="A456">
        <v>2721</v>
      </c>
      <c r="B456" t="str">
        <f t="shared" si="52"/>
        <v>Начисленные расходы по срочным вкладам клиентов</v>
      </c>
      <c r="C456" t="str">
        <f t="shared" si="51"/>
        <v>1</v>
      </c>
      <c r="D456" t="str">
        <f>"7"</f>
        <v>7</v>
      </c>
      <c r="E456" t="str">
        <f>"3"</f>
        <v>3</v>
      </c>
      <c r="F456" s="2">
        <v>4347579.9000000004</v>
      </c>
    </row>
    <row r="457" spans="1:6" x14ac:dyDescent="0.25">
      <c r="A457">
        <v>2721</v>
      </c>
      <c r="B457" t="str">
        <f t="shared" si="52"/>
        <v>Начисленные расходы по срочным вкладам клиентов</v>
      </c>
      <c r="C457" t="str">
        <f t="shared" si="51"/>
        <v>1</v>
      </c>
      <c r="D457" t="str">
        <f>"7"</f>
        <v>7</v>
      </c>
      <c r="E457" t="str">
        <f>"1"</f>
        <v>1</v>
      </c>
      <c r="F457" s="2">
        <v>407626080.81999999</v>
      </c>
    </row>
    <row r="458" spans="1:6" x14ac:dyDescent="0.25">
      <c r="A458">
        <v>2721</v>
      </c>
      <c r="B458" t="str">
        <f t="shared" si="52"/>
        <v>Начисленные расходы по срочным вкладам клиентов</v>
      </c>
      <c r="C458" t="str">
        <f t="shared" si="51"/>
        <v>1</v>
      </c>
      <c r="D458" t="str">
        <f>"7"</f>
        <v>7</v>
      </c>
      <c r="E458" t="str">
        <f>"2"</f>
        <v>2</v>
      </c>
      <c r="F458" s="2">
        <v>48800158.200000003</v>
      </c>
    </row>
    <row r="459" spans="1:6" x14ac:dyDescent="0.25">
      <c r="A459">
        <v>2721</v>
      </c>
      <c r="B459" t="str">
        <f t="shared" si="52"/>
        <v>Начисленные расходы по срочным вкладам клиентов</v>
      </c>
      <c r="C459" t="str">
        <f t="shared" si="51"/>
        <v>1</v>
      </c>
      <c r="D459" t="str">
        <f>"8"</f>
        <v>8</v>
      </c>
      <c r="E459" t="str">
        <f>"2"</f>
        <v>2</v>
      </c>
      <c r="F459" s="2">
        <v>3812.45</v>
      </c>
    </row>
    <row r="460" spans="1:6" x14ac:dyDescent="0.25">
      <c r="A460">
        <v>2721</v>
      </c>
      <c r="B460" t="str">
        <f t="shared" si="52"/>
        <v>Начисленные расходы по срочным вкладам клиентов</v>
      </c>
      <c r="C460" t="str">
        <f t="shared" si="51"/>
        <v>1</v>
      </c>
      <c r="D460" t="str">
        <f>"8"</f>
        <v>8</v>
      </c>
      <c r="E460" t="str">
        <f>"1"</f>
        <v>1</v>
      </c>
      <c r="F460" s="2">
        <v>2692412.67</v>
      </c>
    </row>
    <row r="461" spans="1:6" x14ac:dyDescent="0.25">
      <c r="A461">
        <v>2721</v>
      </c>
      <c r="B461" t="str">
        <f t="shared" si="52"/>
        <v>Начисленные расходы по срочным вкладам клиентов</v>
      </c>
      <c r="C461" t="str">
        <f t="shared" si="51"/>
        <v>1</v>
      </c>
      <c r="D461" t="str">
        <f>"9"</f>
        <v>9</v>
      </c>
      <c r="E461" t="str">
        <f>"3"</f>
        <v>3</v>
      </c>
      <c r="F461" s="2">
        <v>114.86</v>
      </c>
    </row>
    <row r="462" spans="1:6" x14ac:dyDescent="0.25">
      <c r="A462">
        <v>2721</v>
      </c>
      <c r="B462" t="str">
        <f t="shared" si="52"/>
        <v>Начисленные расходы по срочным вкладам клиентов</v>
      </c>
      <c r="C462" t="str">
        <f t="shared" si="51"/>
        <v>1</v>
      </c>
      <c r="D462" t="str">
        <f>"9"</f>
        <v>9</v>
      </c>
      <c r="E462" t="str">
        <f>"2"</f>
        <v>2</v>
      </c>
      <c r="F462" s="2">
        <v>1221320.8999999999</v>
      </c>
    </row>
    <row r="463" spans="1:6" x14ac:dyDescent="0.25">
      <c r="A463">
        <v>2721</v>
      </c>
      <c r="B463" t="str">
        <f t="shared" si="52"/>
        <v>Начисленные расходы по срочным вкладам клиентов</v>
      </c>
      <c r="C463" t="str">
        <f>"2"</f>
        <v>2</v>
      </c>
      <c r="D463" t="str">
        <f>"5"</f>
        <v>5</v>
      </c>
      <c r="E463" t="str">
        <f>"2"</f>
        <v>2</v>
      </c>
      <c r="F463" s="2">
        <v>12289654.109999999</v>
      </c>
    </row>
    <row r="464" spans="1:6" x14ac:dyDescent="0.25">
      <c r="A464">
        <v>2721</v>
      </c>
      <c r="B464" t="str">
        <f t="shared" si="52"/>
        <v>Начисленные расходы по срочным вкладам клиентов</v>
      </c>
      <c r="C464" t="str">
        <f>"1"</f>
        <v>1</v>
      </c>
      <c r="D464" t="str">
        <f>"9"</f>
        <v>9</v>
      </c>
      <c r="E464" t="str">
        <f>"1"</f>
        <v>1</v>
      </c>
      <c r="F464" s="2">
        <v>9479336.3599999994</v>
      </c>
    </row>
    <row r="465" spans="1:6" x14ac:dyDescent="0.25">
      <c r="A465">
        <v>2721</v>
      </c>
      <c r="B465" t="str">
        <f t="shared" si="52"/>
        <v>Начисленные расходы по срочным вкладам клиентов</v>
      </c>
      <c r="C465" t="str">
        <f>"2"</f>
        <v>2</v>
      </c>
      <c r="D465" t="str">
        <f>"9"</f>
        <v>9</v>
      </c>
      <c r="E465" t="str">
        <f>"2"</f>
        <v>2</v>
      </c>
      <c r="F465" s="2">
        <v>86.37</v>
      </c>
    </row>
    <row r="466" spans="1:6" x14ac:dyDescent="0.25">
      <c r="A466">
        <v>2721</v>
      </c>
      <c r="B466" t="str">
        <f t="shared" si="52"/>
        <v>Начисленные расходы по срочным вкладам клиентов</v>
      </c>
      <c r="C466" t="str">
        <f>"2"</f>
        <v>2</v>
      </c>
      <c r="D466" t="str">
        <f>"7"</f>
        <v>7</v>
      </c>
      <c r="E466" t="str">
        <f>"2"</f>
        <v>2</v>
      </c>
      <c r="F466" s="2">
        <v>81475426.569999993</v>
      </c>
    </row>
    <row r="467" spans="1:6" x14ac:dyDescent="0.25">
      <c r="A467">
        <v>2721</v>
      </c>
      <c r="B467" t="str">
        <f t="shared" si="52"/>
        <v>Начисленные расходы по срочным вкладам клиентов</v>
      </c>
      <c r="C467" t="str">
        <f>"2"</f>
        <v>2</v>
      </c>
      <c r="D467" t="str">
        <f>"9"</f>
        <v>9</v>
      </c>
      <c r="E467" t="str">
        <f>"1"</f>
        <v>1</v>
      </c>
      <c r="F467" s="2">
        <v>235.01</v>
      </c>
    </row>
    <row r="468" spans="1:6" x14ac:dyDescent="0.25">
      <c r="A468">
        <v>2721</v>
      </c>
      <c r="B468" t="str">
        <f t="shared" si="52"/>
        <v>Начисленные расходы по срочным вкладам клиентов</v>
      </c>
      <c r="C468" t="str">
        <f>"2"</f>
        <v>2</v>
      </c>
      <c r="D468" t="str">
        <f>"9"</f>
        <v>9</v>
      </c>
      <c r="E468" t="str">
        <f>"3"</f>
        <v>3</v>
      </c>
      <c r="F468" s="2">
        <v>9.6199999999999992</v>
      </c>
    </row>
    <row r="469" spans="1:6" x14ac:dyDescent="0.25">
      <c r="A469">
        <v>2721</v>
      </c>
      <c r="B469" t="str">
        <f t="shared" si="52"/>
        <v>Начисленные расходы по срочным вкладам клиентов</v>
      </c>
      <c r="C469" t="str">
        <f>"2"</f>
        <v>2</v>
      </c>
      <c r="D469" t="str">
        <f>"7"</f>
        <v>7</v>
      </c>
      <c r="E469" t="str">
        <f>"3"</f>
        <v>3</v>
      </c>
      <c r="F469" s="2">
        <v>1026.55</v>
      </c>
    </row>
    <row r="470" spans="1:6" x14ac:dyDescent="0.25">
      <c r="A470">
        <v>2721</v>
      </c>
      <c r="B470" t="str">
        <f t="shared" si="52"/>
        <v>Начисленные расходы по срочным вкладам клиентов</v>
      </c>
      <c r="C470" t="str">
        <f>"1"</f>
        <v>1</v>
      </c>
      <c r="D470" t="str">
        <f>"5"</f>
        <v>5</v>
      </c>
      <c r="E470" t="str">
        <f>"2"</f>
        <v>2</v>
      </c>
      <c r="F470" s="2">
        <v>5435545.9299999997</v>
      </c>
    </row>
    <row r="471" spans="1:6" x14ac:dyDescent="0.25">
      <c r="A471">
        <v>2721</v>
      </c>
      <c r="B471" t="str">
        <f t="shared" si="52"/>
        <v>Начисленные расходы по срочным вкладам клиентов</v>
      </c>
      <c r="C471" t="str">
        <f>"1"</f>
        <v>1</v>
      </c>
      <c r="D471" t="str">
        <f>"5"</f>
        <v>5</v>
      </c>
      <c r="E471" t="str">
        <f>"1"</f>
        <v>1</v>
      </c>
      <c r="F471" s="2">
        <v>1381840419.26</v>
      </c>
    </row>
    <row r="472" spans="1:6" x14ac:dyDescent="0.25">
      <c r="A472">
        <v>2723</v>
      </c>
      <c r="B472" t="str">
        <f t="shared" ref="B472:B478" si="53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C472" t="str">
        <f>"1"</f>
        <v>1</v>
      </c>
      <c r="D472" t="str">
        <f>"7"</f>
        <v>7</v>
      </c>
      <c r="E472" t="str">
        <f>"2"</f>
        <v>2</v>
      </c>
      <c r="F472" s="2">
        <v>1908532.62</v>
      </c>
    </row>
    <row r="473" spans="1:6" x14ac:dyDescent="0.25">
      <c r="A473">
        <v>2723</v>
      </c>
      <c r="B473" t="str">
        <f t="shared" si="53"/>
        <v>Начисленные расходы по вкладу, являющемуся обеспечением обязательств клиентов</v>
      </c>
      <c r="C473" t="str">
        <f>"1"</f>
        <v>1</v>
      </c>
      <c r="D473" t="str">
        <f>"5"</f>
        <v>5</v>
      </c>
      <c r="E473" t="str">
        <f>"1"</f>
        <v>1</v>
      </c>
      <c r="F473" s="2">
        <v>1780891.69</v>
      </c>
    </row>
    <row r="474" spans="1:6" x14ac:dyDescent="0.25">
      <c r="A474">
        <v>2723</v>
      </c>
      <c r="B474" t="str">
        <f t="shared" si="53"/>
        <v>Начисленные расходы по вкладу, являющемуся обеспечением обязательств клиентов</v>
      </c>
      <c r="C474" t="str">
        <f>"1"</f>
        <v>1</v>
      </c>
      <c r="D474" t="str">
        <f>"9"</f>
        <v>9</v>
      </c>
      <c r="E474" t="str">
        <f>"1"</f>
        <v>1</v>
      </c>
      <c r="F474" s="2">
        <v>483828.65</v>
      </c>
    </row>
    <row r="475" spans="1:6" x14ac:dyDescent="0.25">
      <c r="A475">
        <v>2723</v>
      </c>
      <c r="B475" t="str">
        <f t="shared" si="53"/>
        <v>Начисленные расходы по вкладу, являющемуся обеспечением обязательств клиентов</v>
      </c>
      <c r="C475" t="str">
        <f>"2"</f>
        <v>2</v>
      </c>
      <c r="D475" t="str">
        <f>"9"</f>
        <v>9</v>
      </c>
      <c r="E475" t="str">
        <f>"1"</f>
        <v>1</v>
      </c>
      <c r="F475" s="2">
        <v>17350.46</v>
      </c>
    </row>
    <row r="476" spans="1:6" x14ac:dyDescent="0.25">
      <c r="A476">
        <v>2723</v>
      </c>
      <c r="B476" t="str">
        <f t="shared" si="53"/>
        <v>Начисленные расходы по вкладу, являющемуся обеспечением обязательств клиентов</v>
      </c>
      <c r="C476" t="str">
        <f>"1"</f>
        <v>1</v>
      </c>
      <c r="D476" t="str">
        <f>"9"</f>
        <v>9</v>
      </c>
      <c r="E476" t="str">
        <f>"2"</f>
        <v>2</v>
      </c>
      <c r="F476" s="2">
        <v>1385.54</v>
      </c>
    </row>
    <row r="477" spans="1:6" x14ac:dyDescent="0.25">
      <c r="A477">
        <v>2723</v>
      </c>
      <c r="B477" t="str">
        <f t="shared" si="53"/>
        <v>Начисленные расходы по вкладу, являющемуся обеспечением обязательств клиентов</v>
      </c>
      <c r="C477" t="str">
        <f>"2"</f>
        <v>2</v>
      </c>
      <c r="D477" t="str">
        <f>"9"</f>
        <v>9</v>
      </c>
      <c r="E477" t="str">
        <f>"2"</f>
        <v>2</v>
      </c>
      <c r="F477" s="2">
        <v>122.28</v>
      </c>
    </row>
    <row r="478" spans="1:6" x14ac:dyDescent="0.25">
      <c r="A478">
        <v>2723</v>
      </c>
      <c r="B478" t="str">
        <f t="shared" si="53"/>
        <v>Начисленные расходы по вкладу, являющемуся обеспечением обязательств клиентов</v>
      </c>
      <c r="C478" t="str">
        <f>"1"</f>
        <v>1</v>
      </c>
      <c r="D478" t="str">
        <f>"7"</f>
        <v>7</v>
      </c>
      <c r="E478" t="str">
        <f>"1"</f>
        <v>1</v>
      </c>
      <c r="F478" s="2">
        <v>4887299.47</v>
      </c>
    </row>
    <row r="479" spans="1:6" x14ac:dyDescent="0.25">
      <c r="A479">
        <v>2724</v>
      </c>
      <c r="B479" t="str">
        <f t="shared" ref="B479:B484" si="54">"Начисленные расходы по сберегательным вкладам клиентов"</f>
        <v>Начисленные расходы по сберегательным вкладам клиентов</v>
      </c>
      <c r="C479" t="str">
        <f>"1"</f>
        <v>1</v>
      </c>
      <c r="D479" t="str">
        <f>"7"</f>
        <v>7</v>
      </c>
      <c r="E479" t="str">
        <f>"2"</f>
        <v>2</v>
      </c>
      <c r="F479" s="2">
        <v>134302.75</v>
      </c>
    </row>
    <row r="480" spans="1:6" x14ac:dyDescent="0.25">
      <c r="A480">
        <v>2724</v>
      </c>
      <c r="B480" t="str">
        <f t="shared" si="54"/>
        <v>Начисленные расходы по сберегательным вкладам клиентов</v>
      </c>
      <c r="C480" t="str">
        <f>"1"</f>
        <v>1</v>
      </c>
      <c r="D480" t="str">
        <f>"6"</f>
        <v>6</v>
      </c>
      <c r="E480" t="str">
        <f t="shared" ref="E480:E497" si="55">"1"</f>
        <v>1</v>
      </c>
      <c r="F480" s="2">
        <v>1100273.98</v>
      </c>
    </row>
    <row r="481" spans="1:6" x14ac:dyDescent="0.25">
      <c r="A481">
        <v>2724</v>
      </c>
      <c r="B481" t="str">
        <f t="shared" si="54"/>
        <v>Начисленные расходы по сберегательным вкладам клиентов</v>
      </c>
      <c r="C481" t="str">
        <f>"1"</f>
        <v>1</v>
      </c>
      <c r="D481" t="str">
        <f>"9"</f>
        <v>9</v>
      </c>
      <c r="E481" t="str">
        <f t="shared" si="55"/>
        <v>1</v>
      </c>
      <c r="F481" s="2">
        <v>1005177.29</v>
      </c>
    </row>
    <row r="482" spans="1:6" x14ac:dyDescent="0.25">
      <c r="A482">
        <v>2724</v>
      </c>
      <c r="B482" t="str">
        <f t="shared" si="54"/>
        <v>Начисленные расходы по сберегательным вкладам клиентов</v>
      </c>
      <c r="C482" t="str">
        <f>"2"</f>
        <v>2</v>
      </c>
      <c r="D482" t="str">
        <f>"9"</f>
        <v>9</v>
      </c>
      <c r="E482" t="str">
        <f t="shared" si="55"/>
        <v>1</v>
      </c>
      <c r="F482" s="2">
        <v>260.2</v>
      </c>
    </row>
    <row r="483" spans="1:6" x14ac:dyDescent="0.25">
      <c r="A483">
        <v>2724</v>
      </c>
      <c r="B483" t="str">
        <f t="shared" si="54"/>
        <v>Начисленные расходы по сберегательным вкладам клиентов</v>
      </c>
      <c r="C483" t="str">
        <f t="shared" ref="C483:C495" si="56">"1"</f>
        <v>1</v>
      </c>
      <c r="D483" t="str">
        <f>"8"</f>
        <v>8</v>
      </c>
      <c r="E483" t="str">
        <f t="shared" si="55"/>
        <v>1</v>
      </c>
      <c r="F483" s="2">
        <v>3544500</v>
      </c>
    </row>
    <row r="484" spans="1:6" x14ac:dyDescent="0.25">
      <c r="A484">
        <v>2724</v>
      </c>
      <c r="B484" t="str">
        <f t="shared" si="54"/>
        <v>Начисленные расходы по сберегательным вкладам клиентов</v>
      </c>
      <c r="C484" t="str">
        <f t="shared" si="56"/>
        <v>1</v>
      </c>
      <c r="D484" t="str">
        <f>"7"</f>
        <v>7</v>
      </c>
      <c r="E484" t="str">
        <f t="shared" si="55"/>
        <v>1</v>
      </c>
      <c r="F484" s="2">
        <v>64892644.229999997</v>
      </c>
    </row>
    <row r="485" spans="1:6" x14ac:dyDescent="0.25">
      <c r="A485">
        <v>2730</v>
      </c>
      <c r="B48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C485" t="str">
        <f t="shared" si="56"/>
        <v>1</v>
      </c>
      <c r="D485" t="str">
        <f>"5"</f>
        <v>5</v>
      </c>
      <c r="E485" t="str">
        <f t="shared" si="55"/>
        <v>1</v>
      </c>
      <c r="F485" s="2">
        <v>564882202.90999997</v>
      </c>
    </row>
    <row r="486" spans="1:6" x14ac:dyDescent="0.25">
      <c r="A486">
        <v>2745</v>
      </c>
      <c r="B486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86" t="str">
        <f t="shared" si="56"/>
        <v>1</v>
      </c>
      <c r="D486" t="str">
        <f>"7"</f>
        <v>7</v>
      </c>
      <c r="E486" t="str">
        <f t="shared" si="55"/>
        <v>1</v>
      </c>
      <c r="F486" s="2">
        <v>9322262.8900000006</v>
      </c>
    </row>
    <row r="487" spans="1:6" x14ac:dyDescent="0.25">
      <c r="A487">
        <v>2745</v>
      </c>
      <c r="B487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87" t="str">
        <f t="shared" si="56"/>
        <v>1</v>
      </c>
      <c r="D487" t="str">
        <f>"9"</f>
        <v>9</v>
      </c>
      <c r="E487" t="str">
        <f t="shared" si="55"/>
        <v>1</v>
      </c>
      <c r="F487" s="2">
        <v>3217099.59</v>
      </c>
    </row>
    <row r="488" spans="1:6" x14ac:dyDescent="0.25">
      <c r="A488">
        <v>2745</v>
      </c>
      <c r="B48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88" t="str">
        <f t="shared" si="56"/>
        <v>1</v>
      </c>
      <c r="D488" t="str">
        <f>"6"</f>
        <v>6</v>
      </c>
      <c r="E488" t="str">
        <f t="shared" si="55"/>
        <v>1</v>
      </c>
      <c r="F488" s="2">
        <v>11746.64</v>
      </c>
    </row>
    <row r="489" spans="1:6" x14ac:dyDescent="0.25">
      <c r="A489">
        <v>2745</v>
      </c>
      <c r="B489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489" t="str">
        <f t="shared" si="56"/>
        <v>1</v>
      </c>
      <c r="D489" t="str">
        <f>"8"</f>
        <v>8</v>
      </c>
      <c r="E489" t="str">
        <f t="shared" si="55"/>
        <v>1</v>
      </c>
      <c r="F489" s="2">
        <v>20536.16</v>
      </c>
    </row>
    <row r="490" spans="1:6" x14ac:dyDescent="0.25">
      <c r="A490">
        <v>2756</v>
      </c>
      <c r="B490" t="str">
        <f>"Начисленные расходы по субординированным облигациям"</f>
        <v>Начисленные расходы по субординированным облигациям</v>
      </c>
      <c r="C490" t="str">
        <f t="shared" si="56"/>
        <v>1</v>
      </c>
      <c r="D490" t="str">
        <f>"5"</f>
        <v>5</v>
      </c>
      <c r="E490" t="str">
        <f t="shared" si="55"/>
        <v>1</v>
      </c>
      <c r="F490" s="2">
        <v>1599289104.1700001</v>
      </c>
    </row>
    <row r="491" spans="1:6" x14ac:dyDescent="0.25">
      <c r="A491">
        <v>2770</v>
      </c>
      <c r="B491" t="str">
        <f t="shared" ref="B491:B497" si="57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491" t="str">
        <f t="shared" si="56"/>
        <v>1</v>
      </c>
      <c r="D491" t="str">
        <f>"7"</f>
        <v>7</v>
      </c>
      <c r="E491" t="str">
        <f t="shared" si="55"/>
        <v>1</v>
      </c>
      <c r="F491" s="2">
        <v>307714561.88</v>
      </c>
    </row>
    <row r="492" spans="1:6" x14ac:dyDescent="0.25">
      <c r="A492">
        <v>2770</v>
      </c>
      <c r="B492" t="str">
        <f t="shared" si="57"/>
        <v>Начисленные расходы по административно-хозяйственной деятельности</v>
      </c>
      <c r="C492" t="str">
        <f t="shared" si="56"/>
        <v>1</v>
      </c>
      <c r="D492" t="str">
        <f>"1"</f>
        <v>1</v>
      </c>
      <c r="E492" t="str">
        <f t="shared" si="55"/>
        <v>1</v>
      </c>
      <c r="F492" s="2">
        <v>9347</v>
      </c>
    </row>
    <row r="493" spans="1:6" x14ac:dyDescent="0.25">
      <c r="A493">
        <v>2770</v>
      </c>
      <c r="B493" t="str">
        <f t="shared" si="57"/>
        <v>Начисленные расходы по административно-хозяйственной деятельности</v>
      </c>
      <c r="C493" t="str">
        <f t="shared" si="56"/>
        <v>1</v>
      </c>
      <c r="D493" t="str">
        <f>"6"</f>
        <v>6</v>
      </c>
      <c r="E493" t="str">
        <f t="shared" si="55"/>
        <v>1</v>
      </c>
      <c r="F493" s="2">
        <v>18124000.760000002</v>
      </c>
    </row>
    <row r="494" spans="1:6" x14ac:dyDescent="0.25">
      <c r="A494">
        <v>2770</v>
      </c>
      <c r="B494" t="str">
        <f t="shared" si="57"/>
        <v>Начисленные расходы по административно-хозяйственной деятельности</v>
      </c>
      <c r="C494" t="str">
        <f t="shared" si="56"/>
        <v>1</v>
      </c>
      <c r="D494" t="str">
        <f>"9"</f>
        <v>9</v>
      </c>
      <c r="E494" t="str">
        <f t="shared" si="55"/>
        <v>1</v>
      </c>
      <c r="F494" s="2">
        <v>13601671.939999999</v>
      </c>
    </row>
    <row r="495" spans="1:6" x14ac:dyDescent="0.25">
      <c r="A495">
        <v>2770</v>
      </c>
      <c r="B495" t="str">
        <f t="shared" si="57"/>
        <v>Начисленные расходы по административно-хозяйственной деятельности</v>
      </c>
      <c r="C495" t="str">
        <f t="shared" si="56"/>
        <v>1</v>
      </c>
      <c r="D495" t="str">
        <f>"8"</f>
        <v>8</v>
      </c>
      <c r="E495" t="str">
        <f t="shared" si="55"/>
        <v>1</v>
      </c>
      <c r="F495" s="2">
        <v>6495311.6100000003</v>
      </c>
    </row>
    <row r="496" spans="1:6" x14ac:dyDescent="0.25">
      <c r="A496">
        <v>2770</v>
      </c>
      <c r="B496" t="str">
        <f t="shared" si="57"/>
        <v>Начисленные расходы по административно-хозяйственной деятельности</v>
      </c>
      <c r="C496" t="str">
        <f>"2"</f>
        <v>2</v>
      </c>
      <c r="D496" t="str">
        <f>"7"</f>
        <v>7</v>
      </c>
      <c r="E496" t="str">
        <f t="shared" si="55"/>
        <v>1</v>
      </c>
      <c r="F496" s="2">
        <v>155088051.37</v>
      </c>
    </row>
    <row r="497" spans="1:6" x14ac:dyDescent="0.25">
      <c r="A497">
        <v>2770</v>
      </c>
      <c r="B497" t="str">
        <f t="shared" si="57"/>
        <v>Начисленные расходы по административно-хозяйственной деятельности</v>
      </c>
      <c r="C497" t="str">
        <f>"2"</f>
        <v>2</v>
      </c>
      <c r="D497" t="str">
        <f>"9"</f>
        <v>9</v>
      </c>
      <c r="E497" t="str">
        <f t="shared" si="55"/>
        <v>1</v>
      </c>
      <c r="F497" s="2">
        <v>2300000</v>
      </c>
    </row>
    <row r="498" spans="1:6" x14ac:dyDescent="0.25">
      <c r="A498">
        <v>2792</v>
      </c>
      <c r="B498" t="str">
        <f>"Предоплата вознаграждения по предоставленным займам"</f>
        <v>Предоплата вознаграждения по предоставленным займам</v>
      </c>
      <c r="C498" t="str">
        <f>"2"</f>
        <v>2</v>
      </c>
      <c r="D498" t="str">
        <f>"7"</f>
        <v>7</v>
      </c>
      <c r="E498" t="str">
        <f>"3"</f>
        <v>3</v>
      </c>
      <c r="F498" s="2">
        <v>2959.95</v>
      </c>
    </row>
    <row r="499" spans="1:6" x14ac:dyDescent="0.25">
      <c r="A499">
        <v>2792</v>
      </c>
      <c r="B499" t="str">
        <f>"Предоплата вознаграждения по предоставленным займам"</f>
        <v>Предоплата вознаграждения по предоставленным займам</v>
      </c>
      <c r="C499" t="str">
        <f>"2"</f>
        <v>2</v>
      </c>
      <c r="D499" t="str">
        <f>"7"</f>
        <v>7</v>
      </c>
      <c r="E499" t="str">
        <f>"2"</f>
        <v>2</v>
      </c>
      <c r="F499" s="2">
        <v>67583.06</v>
      </c>
    </row>
    <row r="500" spans="1:6" x14ac:dyDescent="0.25">
      <c r="A500">
        <v>2794</v>
      </c>
      <c r="B500" t="str">
        <f t="shared" ref="B500:B509" si="58">"Доходы будущих периодов"</f>
        <v>Доходы будущих периодов</v>
      </c>
      <c r="C500" t="str">
        <f>"1"</f>
        <v>1</v>
      </c>
      <c r="D500" t="str">
        <f>"5"</f>
        <v>5</v>
      </c>
      <c r="E500" t="str">
        <f>"1"</f>
        <v>1</v>
      </c>
      <c r="F500" s="2">
        <v>2046458.14</v>
      </c>
    </row>
    <row r="501" spans="1:6" x14ac:dyDescent="0.25">
      <c r="A501">
        <v>2794</v>
      </c>
      <c r="B501" t="str">
        <f t="shared" si="58"/>
        <v>Доходы будущих периодов</v>
      </c>
      <c r="C501" t="str">
        <f>"1"</f>
        <v>1</v>
      </c>
      <c r="D501" t="str">
        <f>"6"</f>
        <v>6</v>
      </c>
      <c r="E501" t="str">
        <f>"1"</f>
        <v>1</v>
      </c>
      <c r="F501" s="2">
        <v>1220070.77</v>
      </c>
    </row>
    <row r="502" spans="1:6" x14ac:dyDescent="0.25">
      <c r="A502">
        <v>2794</v>
      </c>
      <c r="B502" t="str">
        <f t="shared" si="58"/>
        <v>Доходы будущих периодов</v>
      </c>
      <c r="C502" t="str">
        <f>"1"</f>
        <v>1</v>
      </c>
      <c r="D502" t="str">
        <f>"8"</f>
        <v>8</v>
      </c>
      <c r="E502" t="str">
        <f>"1"</f>
        <v>1</v>
      </c>
      <c r="F502" s="2">
        <v>27534.25</v>
      </c>
    </row>
    <row r="503" spans="1:6" x14ac:dyDescent="0.25">
      <c r="A503">
        <v>2794</v>
      </c>
      <c r="B503" t="str">
        <f t="shared" si="58"/>
        <v>Доходы будущих периодов</v>
      </c>
      <c r="C503" t="str">
        <f>"1"</f>
        <v>1</v>
      </c>
      <c r="D503" t="str">
        <f>"7"</f>
        <v>7</v>
      </c>
      <c r="E503" t="str">
        <f>"2"</f>
        <v>2</v>
      </c>
      <c r="F503" s="2">
        <v>16141016.48</v>
      </c>
    </row>
    <row r="504" spans="1:6" x14ac:dyDescent="0.25">
      <c r="A504">
        <v>2794</v>
      </c>
      <c r="B504" t="str">
        <f t="shared" si="58"/>
        <v>Доходы будущих периодов</v>
      </c>
      <c r="C504" t="str">
        <f>"2"</f>
        <v>2</v>
      </c>
      <c r="D504" t="str">
        <f>"7"</f>
        <v>7</v>
      </c>
      <c r="E504" t="str">
        <f>"2"</f>
        <v>2</v>
      </c>
      <c r="F504" s="2">
        <v>8051619.1500000004</v>
      </c>
    </row>
    <row r="505" spans="1:6" x14ac:dyDescent="0.25">
      <c r="A505">
        <v>2794</v>
      </c>
      <c r="B505" t="str">
        <f t="shared" si="58"/>
        <v>Доходы будущих периодов</v>
      </c>
      <c r="C505" t="str">
        <f>"2"</f>
        <v>2</v>
      </c>
      <c r="D505" t="str">
        <f>"7"</f>
        <v>7</v>
      </c>
      <c r="E505" t="str">
        <f>"3"</f>
        <v>3</v>
      </c>
      <c r="F505" s="2">
        <v>1834398.78</v>
      </c>
    </row>
    <row r="506" spans="1:6" x14ac:dyDescent="0.25">
      <c r="A506">
        <v>2794</v>
      </c>
      <c r="B506" t="str">
        <f t="shared" si="58"/>
        <v>Доходы будущих периодов</v>
      </c>
      <c r="C506" t="str">
        <f>"1"</f>
        <v>1</v>
      </c>
      <c r="D506" t="str">
        <f>"7"</f>
        <v>7</v>
      </c>
      <c r="E506" t="str">
        <f t="shared" ref="E506:E511" si="59">"1"</f>
        <v>1</v>
      </c>
      <c r="F506" s="2">
        <v>130621951.39</v>
      </c>
    </row>
    <row r="507" spans="1:6" x14ac:dyDescent="0.25">
      <c r="A507">
        <v>2794</v>
      </c>
      <c r="B507" t="str">
        <f t="shared" si="58"/>
        <v>Доходы будущих периодов</v>
      </c>
      <c r="C507" t="str">
        <f>"2"</f>
        <v>2</v>
      </c>
      <c r="D507" t="str">
        <f>"9"</f>
        <v>9</v>
      </c>
      <c r="E507" t="str">
        <f t="shared" si="59"/>
        <v>1</v>
      </c>
      <c r="F507" s="2">
        <v>4401809.22</v>
      </c>
    </row>
    <row r="508" spans="1:6" x14ac:dyDescent="0.25">
      <c r="A508">
        <v>2794</v>
      </c>
      <c r="B508" t="str">
        <f t="shared" si="58"/>
        <v>Доходы будущих периодов</v>
      </c>
      <c r="C508" t="str">
        <f>"1"</f>
        <v>1</v>
      </c>
      <c r="D508" t="str">
        <f>"9"</f>
        <v>9</v>
      </c>
      <c r="E508" t="str">
        <f t="shared" si="59"/>
        <v>1</v>
      </c>
      <c r="F508" s="2">
        <v>99379738.640000001</v>
      </c>
    </row>
    <row r="509" spans="1:6" x14ac:dyDescent="0.25">
      <c r="A509">
        <v>2794</v>
      </c>
      <c r="B509" t="str">
        <f t="shared" si="58"/>
        <v>Доходы будущих периодов</v>
      </c>
      <c r="C509" t="str">
        <f>"2"</f>
        <v>2</v>
      </c>
      <c r="D509" t="str">
        <f>"7"</f>
        <v>7</v>
      </c>
      <c r="E509" t="str">
        <f t="shared" si="59"/>
        <v>1</v>
      </c>
      <c r="F509" s="2">
        <v>8171256.5300000003</v>
      </c>
    </row>
    <row r="510" spans="1:6" x14ac:dyDescent="0.25">
      <c r="A510">
        <v>2799</v>
      </c>
      <c r="B510" t="str">
        <f>"Прочие предоплаты"</f>
        <v>Прочие предоплаты</v>
      </c>
      <c r="C510" t="str">
        <f>"1"</f>
        <v>1</v>
      </c>
      <c r="D510" t="str">
        <f>"9"</f>
        <v>9</v>
      </c>
      <c r="E510" t="str">
        <f t="shared" si="59"/>
        <v>1</v>
      </c>
      <c r="F510" s="2">
        <v>263050299.93000001</v>
      </c>
    </row>
    <row r="511" spans="1:6" x14ac:dyDescent="0.25">
      <c r="A511">
        <v>2811</v>
      </c>
      <c r="B5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1" t="str">
        <f>"1"</f>
        <v>1</v>
      </c>
      <c r="D511" t="str">
        <f>""</f>
        <v/>
      </c>
      <c r="E511" t="str">
        <f t="shared" si="59"/>
        <v>1</v>
      </c>
      <c r="F511" s="2">
        <v>25010320.030000001</v>
      </c>
    </row>
    <row r="512" spans="1:6" x14ac:dyDescent="0.25">
      <c r="A512">
        <v>2811</v>
      </c>
      <c r="B51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2" t="str">
        <f>"1"</f>
        <v>1</v>
      </c>
      <c r="D512" t="str">
        <f>""</f>
        <v/>
      </c>
      <c r="E512" t="str">
        <f>"2"</f>
        <v>2</v>
      </c>
      <c r="F512" s="2">
        <v>43762.93</v>
      </c>
    </row>
    <row r="513" spans="1:6" x14ac:dyDescent="0.25">
      <c r="A513">
        <v>2811</v>
      </c>
      <c r="B513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513" t="str">
        <f>"2"</f>
        <v>2</v>
      </c>
      <c r="D513" t="str">
        <f>""</f>
        <v/>
      </c>
      <c r="E513" t="str">
        <f>"2"</f>
        <v>2</v>
      </c>
      <c r="F513" s="2">
        <v>6052644.0800000001</v>
      </c>
    </row>
    <row r="514" spans="1:6" x14ac:dyDescent="0.25">
      <c r="A514">
        <v>2812</v>
      </c>
      <c r="B514" t="str">
        <f>"Начисленные комиссионные расходы по агентским услугам"</f>
        <v>Начисленные комиссионные расходы по агентским услугам</v>
      </c>
      <c r="C514" t="str">
        <f>"1"</f>
        <v>1</v>
      </c>
      <c r="D514" t="str">
        <f>""</f>
        <v/>
      </c>
      <c r="E514" t="str">
        <f>"1"</f>
        <v>1</v>
      </c>
      <c r="F514" s="2">
        <v>14178197.689999999</v>
      </c>
    </row>
    <row r="515" spans="1:6" x14ac:dyDescent="0.25">
      <c r="A515">
        <v>2813</v>
      </c>
      <c r="B515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C515" t="str">
        <f>"1"</f>
        <v>1</v>
      </c>
      <c r="D515" t="str">
        <f>""</f>
        <v/>
      </c>
      <c r="E515" t="str">
        <f>"1"</f>
        <v>1</v>
      </c>
      <c r="F515" s="2">
        <v>301276.61</v>
      </c>
    </row>
    <row r="516" spans="1:6" x14ac:dyDescent="0.25">
      <c r="A516">
        <v>2817</v>
      </c>
      <c r="B516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16" t="str">
        <f>"2"</f>
        <v>2</v>
      </c>
      <c r="D516" t="str">
        <f>""</f>
        <v/>
      </c>
      <c r="E516" t="str">
        <f>"3"</f>
        <v>3</v>
      </c>
      <c r="F516" s="2">
        <v>23040</v>
      </c>
    </row>
    <row r="517" spans="1:6" x14ac:dyDescent="0.25">
      <c r="A517">
        <v>2817</v>
      </c>
      <c r="B517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C517" t="str">
        <f>"2"</f>
        <v>2</v>
      </c>
      <c r="D517" t="str">
        <f>""</f>
        <v/>
      </c>
      <c r="E517" t="str">
        <f>"2"</f>
        <v>2</v>
      </c>
      <c r="F517" s="2">
        <v>656714</v>
      </c>
    </row>
    <row r="518" spans="1:6" x14ac:dyDescent="0.25">
      <c r="A518">
        <v>2818</v>
      </c>
      <c r="B518" t="str">
        <f>"Начисленные прочие комиссионные расходы"</f>
        <v>Начисленные прочие комиссионные расходы</v>
      </c>
      <c r="C518" t="str">
        <f>"1"</f>
        <v>1</v>
      </c>
      <c r="D518" t="str">
        <f>""</f>
        <v/>
      </c>
      <c r="E518" t="str">
        <f>"1"</f>
        <v>1</v>
      </c>
      <c r="F518" s="2">
        <v>3893622.32</v>
      </c>
    </row>
    <row r="519" spans="1:6" x14ac:dyDescent="0.25">
      <c r="A519">
        <v>2819</v>
      </c>
      <c r="B519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19" t="str">
        <f>"1"</f>
        <v>1</v>
      </c>
      <c r="D519" t="str">
        <f>""</f>
        <v/>
      </c>
      <c r="E519" t="str">
        <f>"1"</f>
        <v>1</v>
      </c>
      <c r="F519" s="2">
        <v>1490439.59</v>
      </c>
    </row>
    <row r="520" spans="1:6" x14ac:dyDescent="0.25">
      <c r="A520">
        <v>2819</v>
      </c>
      <c r="B520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520" t="str">
        <f>"2"</f>
        <v>2</v>
      </c>
      <c r="D520" t="str">
        <f>""</f>
        <v/>
      </c>
      <c r="E520" t="str">
        <f>"1"</f>
        <v>1</v>
      </c>
      <c r="F520" s="2">
        <v>3050000</v>
      </c>
    </row>
    <row r="521" spans="1:6" x14ac:dyDescent="0.25">
      <c r="A521">
        <v>2820</v>
      </c>
      <c r="B52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521" t="str">
        <f>"1"</f>
        <v>1</v>
      </c>
      <c r="D521" t="str">
        <f>""</f>
        <v/>
      </c>
      <c r="E521" t="str">
        <f>"1"</f>
        <v>1</v>
      </c>
      <c r="F521" s="2">
        <v>246239999.96000001</v>
      </c>
    </row>
    <row r="522" spans="1:6" x14ac:dyDescent="0.25">
      <c r="A522">
        <v>2851</v>
      </c>
      <c r="B52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522" t="str">
        <f>"1"</f>
        <v>1</v>
      </c>
      <c r="D522" t="str">
        <f>"1"</f>
        <v>1</v>
      </c>
      <c r="E522" t="str">
        <f>"1"</f>
        <v>1</v>
      </c>
      <c r="F522" s="2">
        <v>397379218.45999998</v>
      </c>
    </row>
    <row r="523" spans="1:6" x14ac:dyDescent="0.25">
      <c r="A523">
        <v>2854</v>
      </c>
      <c r="B523" t="str">
        <f>"Расчеты с работниками"</f>
        <v>Расчеты с работниками</v>
      </c>
      <c r="C523" t="str">
        <f>""</f>
        <v/>
      </c>
      <c r="D523" t="str">
        <f>""</f>
        <v/>
      </c>
      <c r="E523" t="str">
        <f>""</f>
        <v/>
      </c>
      <c r="F523" s="2">
        <v>3322736852.98</v>
      </c>
    </row>
    <row r="524" spans="1:6" x14ac:dyDescent="0.25">
      <c r="A524">
        <v>2855</v>
      </c>
      <c r="B524" t="str">
        <f>"Кредиторы по документарным расчетам"</f>
        <v>Кредиторы по документарным расчетам</v>
      </c>
      <c r="C524" t="str">
        <f>"1"</f>
        <v>1</v>
      </c>
      <c r="D524" t="str">
        <f>"7"</f>
        <v>7</v>
      </c>
      <c r="E524" t="str">
        <f>"2"</f>
        <v>2</v>
      </c>
      <c r="F524" s="2">
        <v>3931874.9</v>
      </c>
    </row>
    <row r="525" spans="1:6" x14ac:dyDescent="0.25">
      <c r="A525">
        <v>2855</v>
      </c>
      <c r="B525" t="str">
        <f>"Кредиторы по документарным расчетам"</f>
        <v>Кредиторы по документарным расчетам</v>
      </c>
      <c r="C525" t="str">
        <f>"1"</f>
        <v>1</v>
      </c>
      <c r="D525" t="str">
        <f>"5"</f>
        <v>5</v>
      </c>
      <c r="E525" t="str">
        <f>"2"</f>
        <v>2</v>
      </c>
      <c r="F525" s="2">
        <v>67792600</v>
      </c>
    </row>
    <row r="526" spans="1:6" x14ac:dyDescent="0.25">
      <c r="A526">
        <v>2857</v>
      </c>
      <c r="B526" t="str">
        <f>"Отложенные налоговые обязательства"</f>
        <v>Отложенные налоговые обязательства</v>
      </c>
      <c r="C526" t="str">
        <f>""</f>
        <v/>
      </c>
      <c r="D526" t="str">
        <f>""</f>
        <v/>
      </c>
      <c r="E526" t="str">
        <f>""</f>
        <v/>
      </c>
      <c r="F526" s="2">
        <v>11747533255.389999</v>
      </c>
    </row>
    <row r="527" spans="1:6" x14ac:dyDescent="0.25">
      <c r="A527">
        <v>2860</v>
      </c>
      <c r="B527" t="str">
        <f t="shared" ref="B527:B541" si="60">"Прочие кредиторы по банковской деятельности"</f>
        <v>Прочие кредиторы по банковской деятельности</v>
      </c>
      <c r="C527" t="str">
        <f>"1"</f>
        <v>1</v>
      </c>
      <c r="D527" t="str">
        <f>"1"</f>
        <v>1</v>
      </c>
      <c r="E527" t="str">
        <f>"1"</f>
        <v>1</v>
      </c>
      <c r="F527" s="2">
        <v>289033108.95999998</v>
      </c>
    </row>
    <row r="528" spans="1:6" x14ac:dyDescent="0.25">
      <c r="A528">
        <v>2860</v>
      </c>
      <c r="B528" t="str">
        <f t="shared" si="60"/>
        <v>Прочие кредиторы по банковской деятельности</v>
      </c>
      <c r="C528" t="str">
        <f t="shared" ref="C528:C535" si="61">"1"</f>
        <v>1</v>
      </c>
      <c r="D528" t="str">
        <f>"5"</f>
        <v>5</v>
      </c>
      <c r="E528" t="str">
        <f>"1"</f>
        <v>1</v>
      </c>
      <c r="F528" s="2">
        <v>612904723.76999998</v>
      </c>
    </row>
    <row r="529" spans="1:6" x14ac:dyDescent="0.25">
      <c r="A529">
        <v>2860</v>
      </c>
      <c r="B529" t="str">
        <f t="shared" si="60"/>
        <v>Прочие кредиторы по банковской деятельности</v>
      </c>
      <c r="C529" t="str">
        <f t="shared" si="61"/>
        <v>1</v>
      </c>
      <c r="D529" t="str">
        <f>"4"</f>
        <v>4</v>
      </c>
      <c r="E529" t="str">
        <f>"1"</f>
        <v>1</v>
      </c>
      <c r="F529" s="2">
        <v>197086882.87</v>
      </c>
    </row>
    <row r="530" spans="1:6" x14ac:dyDescent="0.25">
      <c r="A530">
        <v>2860</v>
      </c>
      <c r="B530" t="str">
        <f t="shared" si="60"/>
        <v>Прочие кредиторы по банковской деятельности</v>
      </c>
      <c r="C530" t="str">
        <f t="shared" si="61"/>
        <v>1</v>
      </c>
      <c r="D530" t="str">
        <f>"3"</f>
        <v>3</v>
      </c>
      <c r="E530" t="str">
        <f>"1"</f>
        <v>1</v>
      </c>
      <c r="F530" s="2">
        <v>0.57999999999999996</v>
      </c>
    </row>
    <row r="531" spans="1:6" x14ac:dyDescent="0.25">
      <c r="A531">
        <v>2860</v>
      </c>
      <c r="B531" t="str">
        <f t="shared" si="60"/>
        <v>Прочие кредиторы по банковской деятельности</v>
      </c>
      <c r="C531" t="str">
        <f t="shared" si="61"/>
        <v>1</v>
      </c>
      <c r="D531" t="str">
        <f>"6"</f>
        <v>6</v>
      </c>
      <c r="E531" t="str">
        <f>"1"</f>
        <v>1</v>
      </c>
      <c r="F531" s="2">
        <v>4082725.92</v>
      </c>
    </row>
    <row r="532" spans="1:6" x14ac:dyDescent="0.25">
      <c r="A532">
        <v>2860</v>
      </c>
      <c r="B532" t="str">
        <f t="shared" si="60"/>
        <v>Прочие кредиторы по банковской деятельности</v>
      </c>
      <c r="C532" t="str">
        <f t="shared" si="61"/>
        <v>1</v>
      </c>
      <c r="D532" t="str">
        <f>"9"</f>
        <v>9</v>
      </c>
      <c r="E532" t="str">
        <f>"3"</f>
        <v>3</v>
      </c>
      <c r="F532" s="2">
        <v>197796.9</v>
      </c>
    </row>
    <row r="533" spans="1:6" x14ac:dyDescent="0.25">
      <c r="A533">
        <v>2860</v>
      </c>
      <c r="B533" t="str">
        <f t="shared" si="60"/>
        <v>Прочие кредиторы по банковской деятельности</v>
      </c>
      <c r="C533" t="str">
        <f t="shared" si="61"/>
        <v>1</v>
      </c>
      <c r="D533" t="str">
        <f>"7"</f>
        <v>7</v>
      </c>
      <c r="E533" t="str">
        <f>"1"</f>
        <v>1</v>
      </c>
      <c r="F533" s="2">
        <v>11760955615.25</v>
      </c>
    </row>
    <row r="534" spans="1:6" x14ac:dyDescent="0.25">
      <c r="A534">
        <v>2860</v>
      </c>
      <c r="B534" t="str">
        <f t="shared" si="60"/>
        <v>Прочие кредиторы по банковской деятельности</v>
      </c>
      <c r="C534" t="str">
        <f t="shared" si="61"/>
        <v>1</v>
      </c>
      <c r="D534" t="str">
        <f>"9"</f>
        <v>9</v>
      </c>
      <c r="E534" t="str">
        <f>"1"</f>
        <v>1</v>
      </c>
      <c r="F534" s="2">
        <v>2882381021.7800002</v>
      </c>
    </row>
    <row r="535" spans="1:6" x14ac:dyDescent="0.25">
      <c r="A535">
        <v>2860</v>
      </c>
      <c r="B535" t="str">
        <f t="shared" si="60"/>
        <v>Прочие кредиторы по банковской деятельности</v>
      </c>
      <c r="C535" t="str">
        <f t="shared" si="61"/>
        <v>1</v>
      </c>
      <c r="D535" t="str">
        <f>"9"</f>
        <v>9</v>
      </c>
      <c r="E535" t="str">
        <f>"2"</f>
        <v>2</v>
      </c>
      <c r="F535" s="2">
        <v>14760689.75</v>
      </c>
    </row>
    <row r="536" spans="1:6" x14ac:dyDescent="0.25">
      <c r="A536">
        <v>2860</v>
      </c>
      <c r="B536" t="str">
        <f t="shared" si="60"/>
        <v>Прочие кредиторы по банковской деятельности</v>
      </c>
      <c r="C536" t="str">
        <f t="shared" ref="C536:C541" si="62">"2"</f>
        <v>2</v>
      </c>
      <c r="D536" t="str">
        <f>"7"</f>
        <v>7</v>
      </c>
      <c r="E536" t="str">
        <f>"1"</f>
        <v>1</v>
      </c>
      <c r="F536" s="2">
        <v>8769965.9900000002</v>
      </c>
    </row>
    <row r="537" spans="1:6" x14ac:dyDescent="0.25">
      <c r="A537">
        <v>2860</v>
      </c>
      <c r="B537" t="str">
        <f t="shared" si="60"/>
        <v>Прочие кредиторы по банковской деятельности</v>
      </c>
      <c r="C537" t="str">
        <f t="shared" si="62"/>
        <v>2</v>
      </c>
      <c r="D537" t="str">
        <f>"5"</f>
        <v>5</v>
      </c>
      <c r="E537" t="str">
        <f>"2"</f>
        <v>2</v>
      </c>
      <c r="F537" s="2">
        <v>386764429.12</v>
      </c>
    </row>
    <row r="538" spans="1:6" x14ac:dyDescent="0.25">
      <c r="A538">
        <v>2860</v>
      </c>
      <c r="B538" t="str">
        <f t="shared" si="60"/>
        <v>Прочие кредиторы по банковской деятельности</v>
      </c>
      <c r="C538" t="str">
        <f t="shared" si="62"/>
        <v>2</v>
      </c>
      <c r="D538" t="str">
        <f>"7"</f>
        <v>7</v>
      </c>
      <c r="E538" t="str">
        <f>"2"</f>
        <v>2</v>
      </c>
      <c r="F538" s="2">
        <v>245579475.06</v>
      </c>
    </row>
    <row r="539" spans="1:6" x14ac:dyDescent="0.25">
      <c r="A539">
        <v>2860</v>
      </c>
      <c r="B539" t="str">
        <f t="shared" si="60"/>
        <v>Прочие кредиторы по банковской деятельности</v>
      </c>
      <c r="C539" t="str">
        <f t="shared" si="62"/>
        <v>2</v>
      </c>
      <c r="D539" t="str">
        <f>"9"</f>
        <v>9</v>
      </c>
      <c r="E539" t="str">
        <f>"1"</f>
        <v>1</v>
      </c>
      <c r="F539" s="2">
        <v>13028613.060000001</v>
      </c>
    </row>
    <row r="540" spans="1:6" x14ac:dyDescent="0.25">
      <c r="A540">
        <v>2860</v>
      </c>
      <c r="B540" t="str">
        <f t="shared" si="60"/>
        <v>Прочие кредиторы по банковской деятельности</v>
      </c>
      <c r="C540" t="str">
        <f t="shared" si="62"/>
        <v>2</v>
      </c>
      <c r="D540" t="str">
        <f>"7"</f>
        <v>7</v>
      </c>
      <c r="E540" t="str">
        <f>"3"</f>
        <v>3</v>
      </c>
      <c r="F540" s="2">
        <v>34963165.5</v>
      </c>
    </row>
    <row r="541" spans="1:6" x14ac:dyDescent="0.25">
      <c r="A541">
        <v>2860</v>
      </c>
      <c r="B541" t="str">
        <f t="shared" si="60"/>
        <v>Прочие кредиторы по банковской деятельности</v>
      </c>
      <c r="C541" t="str">
        <f t="shared" si="62"/>
        <v>2</v>
      </c>
      <c r="D541" t="str">
        <f>"9"</f>
        <v>9</v>
      </c>
      <c r="E541" t="str">
        <f>"2"</f>
        <v>2</v>
      </c>
      <c r="F541" s="2">
        <v>5578.86</v>
      </c>
    </row>
    <row r="542" spans="1:6" x14ac:dyDescent="0.25">
      <c r="A542">
        <v>2861</v>
      </c>
      <c r="B542" t="str">
        <f>"Резерв на отпускные выплаты"</f>
        <v>Резерв на отпускные выплаты</v>
      </c>
      <c r="C542" t="str">
        <f>""</f>
        <v/>
      </c>
      <c r="D542" t="str">
        <f>""</f>
        <v/>
      </c>
      <c r="E542" t="str">
        <f>""</f>
        <v/>
      </c>
      <c r="F542" s="2">
        <v>1036312802.73</v>
      </c>
    </row>
    <row r="543" spans="1:6" x14ac:dyDescent="0.25">
      <c r="A543">
        <v>2865</v>
      </c>
      <c r="B543" t="str">
        <f>"Обязательства по выпущенным электронным деньгам"</f>
        <v>Обязательства по выпущенным электронным деньгам</v>
      </c>
      <c r="C543" t="str">
        <f t="shared" ref="C543:C552" si="63">"1"</f>
        <v>1</v>
      </c>
      <c r="D543" t="str">
        <f>"9"</f>
        <v>9</v>
      </c>
      <c r="E543" t="str">
        <f t="shared" ref="E543:E548" si="64">"1"</f>
        <v>1</v>
      </c>
      <c r="F543" s="2">
        <v>908900.25</v>
      </c>
    </row>
    <row r="544" spans="1:6" x14ac:dyDescent="0.25">
      <c r="A544">
        <v>2865</v>
      </c>
      <c r="B544" t="str">
        <f>"Обязательства по выпущенным электронным деньгам"</f>
        <v>Обязательства по выпущенным электронным деньгам</v>
      </c>
      <c r="C544" t="str">
        <f t="shared" si="63"/>
        <v>1</v>
      </c>
      <c r="D544" t="str">
        <f>"7"</f>
        <v>7</v>
      </c>
      <c r="E544" t="str">
        <f t="shared" si="64"/>
        <v>1</v>
      </c>
      <c r="F544" s="2">
        <v>796242736.79999995</v>
      </c>
    </row>
    <row r="545" spans="1:6" x14ac:dyDescent="0.25">
      <c r="A545">
        <v>2867</v>
      </c>
      <c r="B545" t="str">
        <f>"Прочие кредиторы по неосновной деятельности"</f>
        <v>Прочие кредиторы по неосновной деятельности</v>
      </c>
      <c r="C545" t="str">
        <f t="shared" si="63"/>
        <v>1</v>
      </c>
      <c r="D545" t="str">
        <f>"7"</f>
        <v>7</v>
      </c>
      <c r="E545" t="str">
        <f t="shared" si="64"/>
        <v>1</v>
      </c>
      <c r="F545" s="2">
        <v>33210288.850000001</v>
      </c>
    </row>
    <row r="546" spans="1:6" x14ac:dyDescent="0.25">
      <c r="A546">
        <v>2867</v>
      </c>
      <c r="B546" t="str">
        <f>"Прочие кредиторы по неосновной деятельности"</f>
        <v>Прочие кредиторы по неосновной деятельности</v>
      </c>
      <c r="C546" t="str">
        <f t="shared" si="63"/>
        <v>1</v>
      </c>
      <c r="D546" t="str">
        <f>"9"</f>
        <v>9</v>
      </c>
      <c r="E546" t="str">
        <f t="shared" si="64"/>
        <v>1</v>
      </c>
      <c r="F546" s="2">
        <v>74165</v>
      </c>
    </row>
    <row r="547" spans="1:6" x14ac:dyDescent="0.25">
      <c r="A547">
        <v>2869</v>
      </c>
      <c r="B547" t="str">
        <f t="shared" ref="B547:B552" si="65">"Выданные гарантии"</f>
        <v>Выданные гарантии</v>
      </c>
      <c r="C547" t="str">
        <f t="shared" si="63"/>
        <v>1</v>
      </c>
      <c r="D547" t="str">
        <f>"6"</f>
        <v>6</v>
      </c>
      <c r="E547" t="str">
        <f t="shared" si="64"/>
        <v>1</v>
      </c>
      <c r="F547" s="2">
        <v>9383.0300000000007</v>
      </c>
    </row>
    <row r="548" spans="1:6" x14ac:dyDescent="0.25">
      <c r="A548">
        <v>2869</v>
      </c>
      <c r="B548" t="str">
        <f t="shared" si="65"/>
        <v>Выданные гарантии</v>
      </c>
      <c r="C548" t="str">
        <f t="shared" si="63"/>
        <v>1</v>
      </c>
      <c r="D548" t="str">
        <f>"7"</f>
        <v>7</v>
      </c>
      <c r="E548" t="str">
        <f t="shared" si="64"/>
        <v>1</v>
      </c>
      <c r="F548" s="2">
        <v>375319778.55000001</v>
      </c>
    </row>
    <row r="549" spans="1:6" x14ac:dyDescent="0.25">
      <c r="A549">
        <v>2869</v>
      </c>
      <c r="B549" t="str">
        <f t="shared" si="65"/>
        <v>Выданные гарантии</v>
      </c>
      <c r="C549" t="str">
        <f t="shared" si="63"/>
        <v>1</v>
      </c>
      <c r="D549" t="str">
        <f>"7"</f>
        <v>7</v>
      </c>
      <c r="E549" t="str">
        <f>"3"</f>
        <v>3</v>
      </c>
      <c r="F549" s="2">
        <v>2947570.44</v>
      </c>
    </row>
    <row r="550" spans="1:6" x14ac:dyDescent="0.25">
      <c r="A550">
        <v>2869</v>
      </c>
      <c r="B550" t="str">
        <f t="shared" si="65"/>
        <v>Выданные гарантии</v>
      </c>
      <c r="C550" t="str">
        <f t="shared" si="63"/>
        <v>1</v>
      </c>
      <c r="D550" t="str">
        <f>"7"</f>
        <v>7</v>
      </c>
      <c r="E550" t="str">
        <f>"2"</f>
        <v>2</v>
      </c>
      <c r="F550" s="2">
        <v>370639.85</v>
      </c>
    </row>
    <row r="551" spans="1:6" x14ac:dyDescent="0.25">
      <c r="A551">
        <v>2869</v>
      </c>
      <c r="B551" t="str">
        <f t="shared" si="65"/>
        <v>Выданные гарантии</v>
      </c>
      <c r="C551" t="str">
        <f t="shared" si="63"/>
        <v>1</v>
      </c>
      <c r="D551" t="str">
        <f>"8"</f>
        <v>8</v>
      </c>
      <c r="E551" t="str">
        <f>"1"</f>
        <v>1</v>
      </c>
      <c r="F551" s="2">
        <v>7482.02</v>
      </c>
    </row>
    <row r="552" spans="1:6" x14ac:dyDescent="0.25">
      <c r="A552">
        <v>2869</v>
      </c>
      <c r="B552" t="str">
        <f t="shared" si="65"/>
        <v>Выданные гарантии</v>
      </c>
      <c r="C552" t="str">
        <f t="shared" si="63"/>
        <v>1</v>
      </c>
      <c r="D552" t="str">
        <f>"9"</f>
        <v>9</v>
      </c>
      <c r="E552" t="str">
        <f>"1"</f>
        <v>1</v>
      </c>
      <c r="F552" s="2">
        <v>645799.27</v>
      </c>
    </row>
    <row r="553" spans="1:6" x14ac:dyDescent="0.25">
      <c r="A553">
        <v>2870</v>
      </c>
      <c r="B553" t="str">
        <f t="shared" ref="B553:B559" si="66">"Прочие транзитные счета"</f>
        <v>Прочие транзитные счета</v>
      </c>
      <c r="C553" t="str">
        <f>"2"</f>
        <v>2</v>
      </c>
      <c r="D553" t="str">
        <f>"4"</f>
        <v>4</v>
      </c>
      <c r="E553" t="str">
        <f>"2"</f>
        <v>2</v>
      </c>
      <c r="F553" s="2">
        <v>3018890.04</v>
      </c>
    </row>
    <row r="554" spans="1:6" x14ac:dyDescent="0.25">
      <c r="A554">
        <v>2870</v>
      </c>
      <c r="B554" t="str">
        <f t="shared" si="66"/>
        <v>Прочие транзитные счета</v>
      </c>
      <c r="C554" t="str">
        <f t="shared" ref="C554:C559" si="67">"1"</f>
        <v>1</v>
      </c>
      <c r="D554" t="str">
        <f>"9"</f>
        <v>9</v>
      </c>
      <c r="E554" t="str">
        <f>"3"</f>
        <v>3</v>
      </c>
      <c r="F554" s="2">
        <v>10368</v>
      </c>
    </row>
    <row r="555" spans="1:6" x14ac:dyDescent="0.25">
      <c r="A555">
        <v>2870</v>
      </c>
      <c r="B555" t="str">
        <f t="shared" si="66"/>
        <v>Прочие транзитные счета</v>
      </c>
      <c r="C555" t="str">
        <f t="shared" si="67"/>
        <v>1</v>
      </c>
      <c r="D555" t="str">
        <f>"7"</f>
        <v>7</v>
      </c>
      <c r="E555" t="str">
        <f>"1"</f>
        <v>1</v>
      </c>
      <c r="F555" s="2">
        <v>41444133.689999998</v>
      </c>
    </row>
    <row r="556" spans="1:6" x14ac:dyDescent="0.25">
      <c r="A556">
        <v>2870</v>
      </c>
      <c r="B556" t="str">
        <f t="shared" si="66"/>
        <v>Прочие транзитные счета</v>
      </c>
      <c r="C556" t="str">
        <f t="shared" si="67"/>
        <v>1</v>
      </c>
      <c r="D556" t="str">
        <f>"9"</f>
        <v>9</v>
      </c>
      <c r="E556" t="str">
        <f>"1"</f>
        <v>1</v>
      </c>
      <c r="F556" s="2">
        <v>256410357.02000001</v>
      </c>
    </row>
    <row r="557" spans="1:6" x14ac:dyDescent="0.25">
      <c r="A557">
        <v>2870</v>
      </c>
      <c r="B557" t="str">
        <f t="shared" si="66"/>
        <v>Прочие транзитные счета</v>
      </c>
      <c r="C557" t="str">
        <f t="shared" si="67"/>
        <v>1</v>
      </c>
      <c r="D557" t="str">
        <f>"9"</f>
        <v>9</v>
      </c>
      <c r="E557" t="str">
        <f>"2"</f>
        <v>2</v>
      </c>
      <c r="F557" s="2">
        <v>13840928272.540001</v>
      </c>
    </row>
    <row r="558" spans="1:6" x14ac:dyDescent="0.25">
      <c r="A558">
        <v>2870</v>
      </c>
      <c r="B558" t="str">
        <f t="shared" si="66"/>
        <v>Прочие транзитные счета</v>
      </c>
      <c r="C558" t="str">
        <f t="shared" si="67"/>
        <v>1</v>
      </c>
      <c r="D558" t="str">
        <f>"7"</f>
        <v>7</v>
      </c>
      <c r="E558" t="str">
        <f>"3"</f>
        <v>3</v>
      </c>
      <c r="F558" s="2">
        <v>1709262.49</v>
      </c>
    </row>
    <row r="559" spans="1:6" x14ac:dyDescent="0.25">
      <c r="A559">
        <v>2870</v>
      </c>
      <c r="B559" t="str">
        <f t="shared" si="66"/>
        <v>Прочие транзитные счета</v>
      </c>
      <c r="C559" t="str">
        <f t="shared" si="67"/>
        <v>1</v>
      </c>
      <c r="D559" t="str">
        <f>"7"</f>
        <v>7</v>
      </c>
      <c r="E559" t="str">
        <f>"2"</f>
        <v>2</v>
      </c>
      <c r="F559" s="2">
        <v>2159000</v>
      </c>
    </row>
    <row r="560" spans="1:6" x14ac:dyDescent="0.25">
      <c r="A560">
        <v>2874</v>
      </c>
      <c r="B560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0" t="str">
        <f>"2"</f>
        <v>2</v>
      </c>
      <c r="D560" t="str">
        <f>""</f>
        <v/>
      </c>
      <c r="E560" t="str">
        <f>"1"</f>
        <v>1</v>
      </c>
      <c r="F560" s="2">
        <v>12000</v>
      </c>
    </row>
    <row r="561" spans="1:6" x14ac:dyDescent="0.25">
      <c r="A561">
        <v>2874</v>
      </c>
      <c r="B56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1" t="str">
        <f t="shared" ref="C561:C568" si="68">"1"</f>
        <v>1</v>
      </c>
      <c r="D561" t="str">
        <f>""</f>
        <v/>
      </c>
      <c r="E561" t="str">
        <f>"1"</f>
        <v>1</v>
      </c>
      <c r="F561" s="2">
        <v>10096296</v>
      </c>
    </row>
    <row r="562" spans="1:6" x14ac:dyDescent="0.25">
      <c r="A562">
        <v>2874</v>
      </c>
      <c r="B56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2" t="str">
        <f t="shared" si="68"/>
        <v>1</v>
      </c>
      <c r="D562" t="str">
        <f>""</f>
        <v/>
      </c>
      <c r="E562" t="str">
        <f>"2"</f>
        <v>2</v>
      </c>
      <c r="F562" s="2">
        <v>196056.06</v>
      </c>
    </row>
    <row r="563" spans="1:6" x14ac:dyDescent="0.25">
      <c r="A563">
        <v>2874</v>
      </c>
      <c r="B56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C563" t="str">
        <f t="shared" si="68"/>
        <v>1</v>
      </c>
      <c r="D563" t="str">
        <f>""</f>
        <v/>
      </c>
      <c r="E563" t="str">
        <f>"3"</f>
        <v>3</v>
      </c>
      <c r="F563" s="2">
        <v>73578.58</v>
      </c>
    </row>
    <row r="564" spans="1:6" x14ac:dyDescent="0.25">
      <c r="A564">
        <v>2875</v>
      </c>
      <c r="B564" t="str">
        <f t="shared" ref="B564:B569" si="69"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564" t="str">
        <f t="shared" si="68"/>
        <v>1</v>
      </c>
      <c r="D564" t="str">
        <f>"7"</f>
        <v>7</v>
      </c>
      <c r="E564" t="str">
        <f>"1"</f>
        <v>1</v>
      </c>
      <c r="F564" s="2">
        <v>33302354.68</v>
      </c>
    </row>
    <row r="565" spans="1:6" x14ac:dyDescent="0.25">
      <c r="A565">
        <v>2875</v>
      </c>
      <c r="B565" t="str">
        <f t="shared" si="69"/>
        <v>Резервы (провизии) на покрытие убытков по условным обязательствам</v>
      </c>
      <c r="C565" t="str">
        <f t="shared" si="68"/>
        <v>1</v>
      </c>
      <c r="D565" t="str">
        <f>"5"</f>
        <v>5</v>
      </c>
      <c r="E565" t="str">
        <f>"1"</f>
        <v>1</v>
      </c>
      <c r="F565" s="2">
        <v>5700000</v>
      </c>
    </row>
    <row r="566" spans="1:6" x14ac:dyDescent="0.25">
      <c r="A566">
        <v>2875</v>
      </c>
      <c r="B566" t="str">
        <f t="shared" si="69"/>
        <v>Резервы (провизии) на покрытие убытков по условным обязательствам</v>
      </c>
      <c r="C566" t="str">
        <f t="shared" si="68"/>
        <v>1</v>
      </c>
      <c r="D566" t="str">
        <f>"6"</f>
        <v>6</v>
      </c>
      <c r="E566" t="str">
        <f>"1"</f>
        <v>1</v>
      </c>
      <c r="F566" s="2">
        <v>32588600</v>
      </c>
    </row>
    <row r="567" spans="1:6" x14ac:dyDescent="0.25">
      <c r="A567">
        <v>2875</v>
      </c>
      <c r="B567" t="str">
        <f t="shared" si="69"/>
        <v>Резервы (провизии) на покрытие убытков по условным обязательствам</v>
      </c>
      <c r="C567" t="str">
        <f t="shared" si="68"/>
        <v>1</v>
      </c>
      <c r="D567" t="str">
        <f>"9"</f>
        <v>9</v>
      </c>
      <c r="E567" t="str">
        <f>"1"</f>
        <v>1</v>
      </c>
      <c r="F567" s="2">
        <v>2197156.33</v>
      </c>
    </row>
    <row r="568" spans="1:6" x14ac:dyDescent="0.25">
      <c r="A568">
        <v>2875</v>
      </c>
      <c r="B568" t="str">
        <f t="shared" si="69"/>
        <v>Резервы (провизии) на покрытие убытков по условным обязательствам</v>
      </c>
      <c r="C568" t="str">
        <f t="shared" si="68"/>
        <v>1</v>
      </c>
      <c r="D568" t="str">
        <f>"7"</f>
        <v>7</v>
      </c>
      <c r="E568" t="str">
        <f>"2"</f>
        <v>2</v>
      </c>
      <c r="F568" s="2">
        <v>16187586.119999999</v>
      </c>
    </row>
    <row r="569" spans="1:6" x14ac:dyDescent="0.25">
      <c r="A569">
        <v>2875</v>
      </c>
      <c r="B569" t="str">
        <f t="shared" si="69"/>
        <v>Резервы (провизии) на покрытие убытков по условным обязательствам</v>
      </c>
      <c r="C569" t="str">
        <f>"2"</f>
        <v>2</v>
      </c>
      <c r="D569" t="str">
        <f>"7"</f>
        <v>7</v>
      </c>
      <c r="E569" t="str">
        <f>"2"</f>
        <v>2</v>
      </c>
      <c r="F569" s="2">
        <v>16111736.130000001</v>
      </c>
    </row>
    <row r="570" spans="1:6" x14ac:dyDescent="0.25">
      <c r="A570">
        <v>2880</v>
      </c>
      <c r="B570" t="str">
        <f>"Обязательства по секьюритизируемым активам"</f>
        <v>Обязательства по секьюритизируемым активам</v>
      </c>
      <c r="C570" t="str">
        <f>"1"</f>
        <v>1</v>
      </c>
      <c r="D570" t="str">
        <f>""</f>
        <v/>
      </c>
      <c r="E570" t="str">
        <f>"1"</f>
        <v>1</v>
      </c>
      <c r="F570" s="2">
        <v>3619095052.4899998</v>
      </c>
    </row>
    <row r="571" spans="1:6" x14ac:dyDescent="0.25">
      <c r="A571">
        <v>2892</v>
      </c>
      <c r="B571" t="str">
        <f>"Обязательства по операциям форвард"</f>
        <v>Обязательства по операциям форвард</v>
      </c>
      <c r="C571" t="str">
        <f>"1"</f>
        <v>1</v>
      </c>
      <c r="D571" t="str">
        <f>"7"</f>
        <v>7</v>
      </c>
      <c r="E571" t="str">
        <f>"1"</f>
        <v>1</v>
      </c>
      <c r="F571" s="2">
        <v>1870606.48</v>
      </c>
    </row>
    <row r="572" spans="1:6" x14ac:dyDescent="0.25">
      <c r="A572">
        <v>2894</v>
      </c>
      <c r="B572" t="str">
        <f>"Обязательства по операциям спот"</f>
        <v>Обязательства по операциям спот</v>
      </c>
      <c r="C572" t="str">
        <f>"1"</f>
        <v>1</v>
      </c>
      <c r="D572" t="str">
        <f>"5"</f>
        <v>5</v>
      </c>
      <c r="E572" t="str">
        <f>"1"</f>
        <v>1</v>
      </c>
      <c r="F572" s="2">
        <v>6044049500</v>
      </c>
    </row>
    <row r="573" spans="1:6" x14ac:dyDescent="0.25">
      <c r="A573">
        <v>3001</v>
      </c>
      <c r="B573" t="str">
        <f>"Уставный капитал – простые акции"</f>
        <v>Уставный капитал – простые акции</v>
      </c>
      <c r="C573" t="str">
        <f>""</f>
        <v/>
      </c>
      <c r="D573" t="str">
        <f>""</f>
        <v/>
      </c>
      <c r="E573" t="str">
        <f>""</f>
        <v/>
      </c>
      <c r="F573" s="2">
        <v>61135196834.199997</v>
      </c>
    </row>
    <row r="574" spans="1:6" x14ac:dyDescent="0.25">
      <c r="A574">
        <v>3101</v>
      </c>
      <c r="B574" t="str">
        <f>"Дополнительный оплаченный капитал"</f>
        <v>Дополнительный оплаченный капитал</v>
      </c>
      <c r="C574" t="str">
        <f>""</f>
        <v/>
      </c>
      <c r="D574" t="str">
        <f>""</f>
        <v/>
      </c>
      <c r="E574" t="str">
        <f>""</f>
        <v/>
      </c>
      <c r="F574" s="2">
        <v>2025632000</v>
      </c>
    </row>
    <row r="575" spans="1:6" x14ac:dyDescent="0.25">
      <c r="A575">
        <v>3510</v>
      </c>
      <c r="B575" t="str">
        <f>"Резервный капитал"</f>
        <v>Резервный капитал</v>
      </c>
      <c r="C575" t="str">
        <f>""</f>
        <v/>
      </c>
      <c r="D575" t="str">
        <f>""</f>
        <v/>
      </c>
      <c r="E575" t="str">
        <f>""</f>
        <v/>
      </c>
      <c r="F575" s="2">
        <v>8616900749.1700001</v>
      </c>
    </row>
    <row r="576" spans="1:6" x14ac:dyDescent="0.25">
      <c r="A576">
        <v>3561</v>
      </c>
      <c r="B57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576" t="str">
        <f>"2"</f>
        <v>2</v>
      </c>
      <c r="D576" t="str">
        <f>""</f>
        <v/>
      </c>
      <c r="E576" t="str">
        <f>"1"</f>
        <v>1</v>
      </c>
      <c r="F576" s="2">
        <v>126912593.25</v>
      </c>
    </row>
    <row r="577" spans="1:6" x14ac:dyDescent="0.25">
      <c r="A577">
        <v>3561</v>
      </c>
      <c r="B57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577" t="str">
        <f>"1"</f>
        <v>1</v>
      </c>
      <c r="D577" t="str">
        <f>""</f>
        <v/>
      </c>
      <c r="E577" t="str">
        <f>"1"</f>
        <v>1</v>
      </c>
      <c r="F577" s="2">
        <v>-502629921.44</v>
      </c>
    </row>
    <row r="578" spans="1:6" x14ac:dyDescent="0.25">
      <c r="A578">
        <v>3561</v>
      </c>
      <c r="B578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578" t="str">
        <f>"2"</f>
        <v>2</v>
      </c>
      <c r="D578" t="str">
        <f>""</f>
        <v/>
      </c>
      <c r="E578" t="str">
        <f>"2"</f>
        <v>2</v>
      </c>
      <c r="F578" s="2">
        <v>-189657468.72999999</v>
      </c>
    </row>
    <row r="579" spans="1:6" x14ac:dyDescent="0.25">
      <c r="A579">
        <v>3561</v>
      </c>
      <c r="B579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C579" t="str">
        <f>"1"</f>
        <v>1</v>
      </c>
      <c r="D579" t="str">
        <f>""</f>
        <v/>
      </c>
      <c r="E579" t="str">
        <f>"2"</f>
        <v>2</v>
      </c>
      <c r="F579" s="2">
        <v>349151659.82999998</v>
      </c>
    </row>
    <row r="580" spans="1:6" x14ac:dyDescent="0.25">
      <c r="A580">
        <v>3562</v>
      </c>
      <c r="B580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580" t="str">
        <f>"1"</f>
        <v>1</v>
      </c>
      <c r="D580" t="str">
        <f>""</f>
        <v/>
      </c>
      <c r="E580" t="str">
        <f>"1"</f>
        <v>1</v>
      </c>
      <c r="F580" s="2">
        <v>1302153.32</v>
      </c>
    </row>
    <row r="581" spans="1:6" x14ac:dyDescent="0.25">
      <c r="A581">
        <v>3562</v>
      </c>
      <c r="B58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581" t="str">
        <f>"2"</f>
        <v>2</v>
      </c>
      <c r="D581" t="str">
        <f>""</f>
        <v/>
      </c>
      <c r="E581" t="str">
        <f>"2"</f>
        <v>2</v>
      </c>
      <c r="F581" s="2">
        <v>22513214.98</v>
      </c>
    </row>
    <row r="582" spans="1:6" x14ac:dyDescent="0.25">
      <c r="A582">
        <v>3562</v>
      </c>
      <c r="B58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C582" t="str">
        <f>"1"</f>
        <v>1</v>
      </c>
      <c r="D582" t="str">
        <f>""</f>
        <v/>
      </c>
      <c r="E582" t="str">
        <f>"2"</f>
        <v>2</v>
      </c>
      <c r="F582" s="2">
        <v>19592575.239999998</v>
      </c>
    </row>
    <row r="583" spans="1:6" x14ac:dyDescent="0.25">
      <c r="A583">
        <v>3580</v>
      </c>
      <c r="B583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583" t="str">
        <f>""</f>
        <v/>
      </c>
      <c r="D583" t="str">
        <f>""</f>
        <v/>
      </c>
      <c r="E583" t="str">
        <f>""</f>
        <v/>
      </c>
      <c r="F583" s="2">
        <v>33490669163.790001</v>
      </c>
    </row>
    <row r="584" spans="1:6" x14ac:dyDescent="0.25">
      <c r="A584">
        <v>3599</v>
      </c>
      <c r="B584" t="str">
        <f>"Нераспределенная чистая прибыль (непокрытый убыток)"</f>
        <v>Нераспределенная чистая прибыль (непокрытый убыток)</v>
      </c>
      <c r="C584" t="str">
        <f>""</f>
        <v/>
      </c>
      <c r="D584" t="str">
        <f>""</f>
        <v/>
      </c>
      <c r="E584" t="str">
        <f>""</f>
        <v/>
      </c>
      <c r="F584" s="2">
        <v>12722371008.780001</v>
      </c>
    </row>
    <row r="585" spans="1:6" x14ac:dyDescent="0.25">
      <c r="A585">
        <v>4052</v>
      </c>
      <c r="B585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585" t="str">
        <f>""</f>
        <v/>
      </c>
      <c r="D585" t="str">
        <f>""</f>
        <v/>
      </c>
      <c r="E585" t="str">
        <f>""</f>
        <v/>
      </c>
      <c r="F585" s="2">
        <v>28860247.43</v>
      </c>
    </row>
    <row r="586" spans="1:6" x14ac:dyDescent="0.25">
      <c r="A586">
        <v>4101</v>
      </c>
      <c r="B586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586" t="str">
        <f>""</f>
        <v/>
      </c>
      <c r="D586" t="str">
        <f>""</f>
        <v/>
      </c>
      <c r="E586" t="str">
        <f>""</f>
        <v/>
      </c>
      <c r="F586" s="2">
        <v>50458333.329999998</v>
      </c>
    </row>
    <row r="587" spans="1:6" x14ac:dyDescent="0.25">
      <c r="A587">
        <v>4103</v>
      </c>
      <c r="B587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587" t="str">
        <f>""</f>
        <v/>
      </c>
      <c r="D587" t="str">
        <f>""</f>
        <v/>
      </c>
      <c r="E587" t="str">
        <f>""</f>
        <v/>
      </c>
      <c r="F587" s="2">
        <v>615957839.27999997</v>
      </c>
    </row>
    <row r="588" spans="1:6" x14ac:dyDescent="0.25">
      <c r="A588">
        <v>4251</v>
      </c>
      <c r="B588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588" t="str">
        <f>""</f>
        <v/>
      </c>
      <c r="D588" t="str">
        <f>""</f>
        <v/>
      </c>
      <c r="E588" t="str">
        <f>""</f>
        <v/>
      </c>
      <c r="F588" s="2">
        <v>18410570.739999998</v>
      </c>
    </row>
    <row r="589" spans="1:6" x14ac:dyDescent="0.25">
      <c r="A589">
        <v>4253</v>
      </c>
      <c r="B589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C589" t="str">
        <f>""</f>
        <v/>
      </c>
      <c r="D589" t="str">
        <f>""</f>
        <v/>
      </c>
      <c r="E589" t="str">
        <f>""</f>
        <v/>
      </c>
      <c r="F589" s="2">
        <v>3881691.67</v>
      </c>
    </row>
    <row r="590" spans="1:6" x14ac:dyDescent="0.25">
      <c r="A590">
        <v>4267</v>
      </c>
      <c r="B590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C590" t="str">
        <f>""</f>
        <v/>
      </c>
      <c r="D590" t="str">
        <f>""</f>
        <v/>
      </c>
      <c r="E590" t="str">
        <f>""</f>
        <v/>
      </c>
      <c r="F590" s="2">
        <v>29494368.449999999</v>
      </c>
    </row>
    <row r="591" spans="1:6" x14ac:dyDescent="0.25">
      <c r="A591">
        <v>4302</v>
      </c>
      <c r="B59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591" t="str">
        <f>""</f>
        <v/>
      </c>
      <c r="D591" t="str">
        <f>""</f>
        <v/>
      </c>
      <c r="E591" t="str">
        <f>""</f>
        <v/>
      </c>
      <c r="F591" s="2">
        <v>7733416.7000000002</v>
      </c>
    </row>
    <row r="592" spans="1:6" x14ac:dyDescent="0.25">
      <c r="A592">
        <v>4313</v>
      </c>
      <c r="B592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C592" t="str">
        <f>""</f>
        <v/>
      </c>
      <c r="D592" t="str">
        <f>""</f>
        <v/>
      </c>
      <c r="E592" t="str">
        <f>""</f>
        <v/>
      </c>
      <c r="F592" s="2">
        <v>12461106.91</v>
      </c>
    </row>
    <row r="593" spans="1:6" x14ac:dyDescent="0.25">
      <c r="A593">
        <v>4403</v>
      </c>
      <c r="B593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593" t="str">
        <f>""</f>
        <v/>
      </c>
      <c r="D593" t="str">
        <f>""</f>
        <v/>
      </c>
      <c r="E593" t="str">
        <f>""</f>
        <v/>
      </c>
      <c r="F593" s="2">
        <v>110853515.86</v>
      </c>
    </row>
    <row r="594" spans="1:6" x14ac:dyDescent="0.25">
      <c r="A594">
        <v>4411</v>
      </c>
      <c r="B594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594" t="str">
        <f>""</f>
        <v/>
      </c>
      <c r="D594" t="str">
        <f>""</f>
        <v/>
      </c>
      <c r="E594" t="str">
        <f>""</f>
        <v/>
      </c>
      <c r="F594" s="2">
        <v>2050053421.6600001</v>
      </c>
    </row>
    <row r="595" spans="1:6" x14ac:dyDescent="0.25">
      <c r="A595">
        <v>4417</v>
      </c>
      <c r="B59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595" t="str">
        <f>""</f>
        <v/>
      </c>
      <c r="D595" t="str">
        <f>""</f>
        <v/>
      </c>
      <c r="E595" t="str">
        <f>""</f>
        <v/>
      </c>
      <c r="F595" s="2">
        <v>94656535200.869995</v>
      </c>
    </row>
    <row r="596" spans="1:6" x14ac:dyDescent="0.25">
      <c r="A596">
        <v>4424</v>
      </c>
      <c r="B596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596" t="str">
        <f>""</f>
        <v/>
      </c>
      <c r="D596" t="str">
        <f>""</f>
        <v/>
      </c>
      <c r="E596" t="str">
        <f>""</f>
        <v/>
      </c>
      <c r="F596" s="2">
        <v>1404866987.49</v>
      </c>
    </row>
    <row r="597" spans="1:6" x14ac:dyDescent="0.25">
      <c r="A597">
        <v>4429</v>
      </c>
      <c r="B597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597" t="str">
        <f>""</f>
        <v/>
      </c>
      <c r="D597" t="str">
        <f>""</f>
        <v/>
      </c>
      <c r="E597" t="str">
        <f>""</f>
        <v/>
      </c>
      <c r="F597" s="2">
        <v>1989156722.1700001</v>
      </c>
    </row>
    <row r="598" spans="1:6" x14ac:dyDescent="0.25">
      <c r="A598">
        <v>4430</v>
      </c>
      <c r="B598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C598" t="str">
        <f>""</f>
        <v/>
      </c>
      <c r="D598" t="str">
        <f>""</f>
        <v/>
      </c>
      <c r="E598" t="str">
        <f>""</f>
        <v/>
      </c>
      <c r="F598" s="2">
        <v>1434054895.4300001</v>
      </c>
    </row>
    <row r="599" spans="1:6" x14ac:dyDescent="0.25">
      <c r="A599">
        <v>4434</v>
      </c>
      <c r="B599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599" t="str">
        <f>""</f>
        <v/>
      </c>
      <c r="D599" t="str">
        <f>""</f>
        <v/>
      </c>
      <c r="E599" t="str">
        <f>""</f>
        <v/>
      </c>
      <c r="F599" s="2">
        <v>7422299615.1499996</v>
      </c>
    </row>
    <row r="600" spans="1:6" x14ac:dyDescent="0.25">
      <c r="A600">
        <v>4452</v>
      </c>
      <c r="B600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C600" t="str">
        <f>""</f>
        <v/>
      </c>
      <c r="D600" t="str">
        <f>""</f>
        <v/>
      </c>
      <c r="E600" t="str">
        <f>""</f>
        <v/>
      </c>
      <c r="F600" s="2">
        <v>8144874750.6999998</v>
      </c>
    </row>
    <row r="601" spans="1:6" x14ac:dyDescent="0.25">
      <c r="A601">
        <v>4453</v>
      </c>
      <c r="B60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C601" t="str">
        <f>""</f>
        <v/>
      </c>
      <c r="D601" t="str">
        <f>""</f>
        <v/>
      </c>
      <c r="E601" t="str">
        <f>""</f>
        <v/>
      </c>
      <c r="F601" s="2">
        <v>2833076676.46</v>
      </c>
    </row>
    <row r="602" spans="1:6" x14ac:dyDescent="0.25">
      <c r="A602">
        <v>4454</v>
      </c>
      <c r="B602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C602" t="str">
        <f>""</f>
        <v/>
      </c>
      <c r="D602" t="str">
        <f>""</f>
        <v/>
      </c>
      <c r="E602" t="str">
        <f>""</f>
        <v/>
      </c>
      <c r="F602" s="2">
        <v>1586833.78</v>
      </c>
    </row>
    <row r="603" spans="1:6" x14ac:dyDescent="0.25">
      <c r="A603">
        <v>4465</v>
      </c>
      <c r="B603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603" t="str">
        <f>""</f>
        <v/>
      </c>
      <c r="D603" t="str">
        <f>""</f>
        <v/>
      </c>
      <c r="E603" t="str">
        <f>""</f>
        <v/>
      </c>
      <c r="F603" s="2">
        <v>543198123.86000001</v>
      </c>
    </row>
    <row r="604" spans="1:6" x14ac:dyDescent="0.25">
      <c r="A604">
        <v>4481</v>
      </c>
      <c r="B604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C604" t="str">
        <f>""</f>
        <v/>
      </c>
      <c r="D604" t="str">
        <f>""</f>
        <v/>
      </c>
      <c r="E604" t="str">
        <f>""</f>
        <v/>
      </c>
      <c r="F604" s="2">
        <v>4205949353.73</v>
      </c>
    </row>
    <row r="605" spans="1:6" x14ac:dyDescent="0.25">
      <c r="A605">
        <v>4482</v>
      </c>
      <c r="B605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C605" t="str">
        <f>""</f>
        <v/>
      </c>
      <c r="D605" t="str">
        <f>""</f>
        <v/>
      </c>
      <c r="E605" t="str">
        <f>""</f>
        <v/>
      </c>
      <c r="F605" s="2">
        <v>6935756586.0200005</v>
      </c>
    </row>
    <row r="606" spans="1:6" x14ac:dyDescent="0.25">
      <c r="A606">
        <v>4491</v>
      </c>
      <c r="B606" t="str">
        <f>"Доходы, связанные с получением вознаграждения по прочим финансовым активам, учитываемым по амортизированной стоимости"</f>
        <v>Доходы, связанные с получением вознаграждения по прочим финансовым активам, учитываемым по амортизированной стоимости</v>
      </c>
      <c r="C606" t="str">
        <f>""</f>
        <v/>
      </c>
      <c r="D606" t="str">
        <f>""</f>
        <v/>
      </c>
      <c r="E606" t="str">
        <f>""</f>
        <v/>
      </c>
      <c r="F606" s="2">
        <v>1731257.97</v>
      </c>
    </row>
    <row r="607" spans="1:6" x14ac:dyDescent="0.25">
      <c r="A607">
        <v>4492</v>
      </c>
      <c r="B607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607" t="str">
        <f>""</f>
        <v/>
      </c>
      <c r="D607" t="str">
        <f>""</f>
        <v/>
      </c>
      <c r="E607" t="str">
        <f>""</f>
        <v/>
      </c>
      <c r="F607" s="2">
        <v>147301735.75999999</v>
      </c>
    </row>
    <row r="608" spans="1:6" x14ac:dyDescent="0.25">
      <c r="A608">
        <v>4510</v>
      </c>
      <c r="B608" t="str">
        <f>"Доходы по купле-продаже ценных бумаг"</f>
        <v>Доходы по купле-продаже ценных бумаг</v>
      </c>
      <c r="C608" t="str">
        <f>""</f>
        <v/>
      </c>
      <c r="D608" t="str">
        <f>""</f>
        <v/>
      </c>
      <c r="E608" t="str">
        <f>""</f>
        <v/>
      </c>
      <c r="F608" s="2">
        <v>94700325.230000004</v>
      </c>
    </row>
    <row r="609" spans="1:6" x14ac:dyDescent="0.25">
      <c r="A609">
        <v>4530</v>
      </c>
      <c r="B609" t="str">
        <f>"Доходы по купле-продаже иностранной валюты"</f>
        <v>Доходы по купле-продаже иностранной валюты</v>
      </c>
      <c r="C609" t="str">
        <f>""</f>
        <v/>
      </c>
      <c r="D609" t="str">
        <f>""</f>
        <v/>
      </c>
      <c r="E609" t="str">
        <f>""</f>
        <v/>
      </c>
      <c r="F609" s="2">
        <v>26280811061.77</v>
      </c>
    </row>
    <row r="610" spans="1:6" x14ac:dyDescent="0.25">
      <c r="A610">
        <v>4540</v>
      </c>
      <c r="B610" t="str">
        <f>"Доходы от продажи аффинированных драгоценных металлов"</f>
        <v>Доходы от продажи аффинированных драгоценных металлов</v>
      </c>
      <c r="C610" t="str">
        <f>""</f>
        <v/>
      </c>
      <c r="D610" t="str">
        <f>""</f>
        <v/>
      </c>
      <c r="E610" t="str">
        <f>""</f>
        <v/>
      </c>
      <c r="F610" s="2">
        <v>10841939.48</v>
      </c>
    </row>
    <row r="611" spans="1:6" x14ac:dyDescent="0.25">
      <c r="A611">
        <v>4570</v>
      </c>
      <c r="B61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C611" t="str">
        <f>""</f>
        <v/>
      </c>
      <c r="D611" t="str">
        <f>""</f>
        <v/>
      </c>
      <c r="E611" t="str">
        <f>""</f>
        <v/>
      </c>
      <c r="F611" s="2">
        <v>4619445.8099999996</v>
      </c>
    </row>
    <row r="612" spans="1:6" x14ac:dyDescent="0.25">
      <c r="A612">
        <v>4593</v>
      </c>
      <c r="B612" t="str">
        <f>"Доходы от переоценки операций своп"</f>
        <v>Доходы от переоценки операций своп</v>
      </c>
      <c r="C612" t="str">
        <f>""</f>
        <v/>
      </c>
      <c r="D612" t="str">
        <f>""</f>
        <v/>
      </c>
      <c r="E612" t="str">
        <f>""</f>
        <v/>
      </c>
      <c r="F612" s="2">
        <v>26332030</v>
      </c>
    </row>
    <row r="613" spans="1:6" x14ac:dyDescent="0.25">
      <c r="A613">
        <v>4601</v>
      </c>
      <c r="B613" t="str">
        <f>"Комиссионные доходы за услуги по переводным операциям"</f>
        <v>Комиссионные доходы за услуги по переводным операциям</v>
      </c>
      <c r="C613" t="str">
        <f>""</f>
        <v/>
      </c>
      <c r="D613" t="str">
        <f>""</f>
        <v/>
      </c>
      <c r="E613" t="str">
        <f>""</f>
        <v/>
      </c>
      <c r="F613" s="2">
        <v>2603464612.3200002</v>
      </c>
    </row>
    <row r="614" spans="1:6" x14ac:dyDescent="0.25">
      <c r="A614">
        <v>4602</v>
      </c>
      <c r="B614" t="str">
        <f>"Комиссионные доходы за агентские услуги"</f>
        <v>Комиссионные доходы за агентские услуги</v>
      </c>
      <c r="C614" t="str">
        <f>""</f>
        <v/>
      </c>
      <c r="D614" t="str">
        <f>""</f>
        <v/>
      </c>
      <c r="E614" t="str">
        <f>""</f>
        <v/>
      </c>
      <c r="F614" s="2">
        <v>18052322611.23</v>
      </c>
    </row>
    <row r="615" spans="1:6" x14ac:dyDescent="0.25">
      <c r="A615">
        <v>4605</v>
      </c>
      <c r="B615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C615" t="str">
        <f>""</f>
        <v/>
      </c>
      <c r="D615" t="str">
        <f>""</f>
        <v/>
      </c>
      <c r="E615" t="str">
        <f>""</f>
        <v/>
      </c>
      <c r="F615" s="2">
        <v>149681744.72999999</v>
      </c>
    </row>
    <row r="616" spans="1:6" x14ac:dyDescent="0.25">
      <c r="A616">
        <v>4606</v>
      </c>
      <c r="B616" t="str">
        <f>"Комиссионные доходы за услуги по операциям с гарантиями"</f>
        <v>Комиссионные доходы за услуги по операциям с гарантиями</v>
      </c>
      <c r="C616" t="str">
        <f>""</f>
        <v/>
      </c>
      <c r="D616" t="str">
        <f>""</f>
        <v/>
      </c>
      <c r="E616" t="str">
        <f>""</f>
        <v/>
      </c>
      <c r="F616" s="2">
        <v>387078816.31999999</v>
      </c>
    </row>
    <row r="617" spans="1:6" x14ac:dyDescent="0.25">
      <c r="A617">
        <v>4607</v>
      </c>
      <c r="B617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617" t="str">
        <f>""</f>
        <v/>
      </c>
      <c r="D617" t="str">
        <f>""</f>
        <v/>
      </c>
      <c r="E617" t="str">
        <f>""</f>
        <v/>
      </c>
      <c r="F617" s="2">
        <v>511534645.5</v>
      </c>
    </row>
    <row r="618" spans="1:6" x14ac:dyDescent="0.25">
      <c r="A618">
        <v>4608</v>
      </c>
      <c r="B618" t="str">
        <f>"Прочие комиссионные доходы"</f>
        <v>Прочие комиссионные доходы</v>
      </c>
      <c r="C618" t="str">
        <f>""</f>
        <v/>
      </c>
      <c r="D618" t="str">
        <f>""</f>
        <v/>
      </c>
      <c r="E618" t="str">
        <f>""</f>
        <v/>
      </c>
      <c r="F618" s="2">
        <v>5682040898.8400002</v>
      </c>
    </row>
    <row r="619" spans="1:6" x14ac:dyDescent="0.25">
      <c r="A619">
        <v>4609</v>
      </c>
      <c r="B619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619" t="str">
        <f>""</f>
        <v/>
      </c>
      <c r="D619" t="str">
        <f>""</f>
        <v/>
      </c>
      <c r="E619" t="str">
        <f>""</f>
        <v/>
      </c>
      <c r="F619" s="2">
        <v>63516506.450000003</v>
      </c>
    </row>
    <row r="620" spans="1:6" x14ac:dyDescent="0.25">
      <c r="A620">
        <v>4611</v>
      </c>
      <c r="B620" t="str">
        <f>"Комиссионные доходы за услуги по кассовым операциям"</f>
        <v>Комиссионные доходы за услуги по кассовым операциям</v>
      </c>
      <c r="C620" t="str">
        <f>""</f>
        <v/>
      </c>
      <c r="D620" t="str">
        <f>""</f>
        <v/>
      </c>
      <c r="E620" t="str">
        <f>""</f>
        <v/>
      </c>
      <c r="F620" s="2">
        <v>1434416684.27</v>
      </c>
    </row>
    <row r="621" spans="1:6" x14ac:dyDescent="0.25">
      <c r="A621">
        <v>4612</v>
      </c>
      <c r="B621" t="str">
        <f>"Комиссионные доходы по документарным расчетам"</f>
        <v>Комиссионные доходы по документарным расчетам</v>
      </c>
      <c r="C621" t="str">
        <f>""</f>
        <v/>
      </c>
      <c r="D621" t="str">
        <f>""</f>
        <v/>
      </c>
      <c r="E621" t="str">
        <f>""</f>
        <v/>
      </c>
      <c r="F621" s="2">
        <v>80846869.640000001</v>
      </c>
    </row>
    <row r="622" spans="1:6" x14ac:dyDescent="0.25">
      <c r="A622">
        <v>4615</v>
      </c>
      <c r="B622" t="str">
        <f>"Комиссионные доходы за услуги по инкассации"</f>
        <v>Комиссионные доходы за услуги по инкассации</v>
      </c>
      <c r="C622" t="str">
        <f>""</f>
        <v/>
      </c>
      <c r="D622" t="str">
        <f>""</f>
        <v/>
      </c>
      <c r="E622" t="str">
        <f>""</f>
        <v/>
      </c>
      <c r="F622" s="2">
        <v>25566091.449999999</v>
      </c>
    </row>
    <row r="623" spans="1:6" x14ac:dyDescent="0.25">
      <c r="A623">
        <v>4617</v>
      </c>
      <c r="B623" t="str">
        <f>"Комиссионные доходы за услуги по сейфовым операциям"</f>
        <v>Комиссионные доходы за услуги по сейфовым операциям</v>
      </c>
      <c r="C623" t="str">
        <f>""</f>
        <v/>
      </c>
      <c r="D623" t="str">
        <f>""</f>
        <v/>
      </c>
      <c r="E623" t="str">
        <f>""</f>
        <v/>
      </c>
      <c r="F623" s="2">
        <v>38266498.789999999</v>
      </c>
    </row>
    <row r="624" spans="1:6" x14ac:dyDescent="0.25">
      <c r="A624">
        <v>4619</v>
      </c>
      <c r="B624" t="str">
        <f>"Комиссионные доходы за обслуживание платежных карточек"</f>
        <v>Комиссионные доходы за обслуживание платежных карточек</v>
      </c>
      <c r="C624" t="str">
        <f>""</f>
        <v/>
      </c>
      <c r="D624" t="str">
        <f>""</f>
        <v/>
      </c>
      <c r="E624" t="str">
        <f>""</f>
        <v/>
      </c>
      <c r="F624" s="2">
        <v>5143600</v>
      </c>
    </row>
    <row r="625" spans="1:6" x14ac:dyDescent="0.25">
      <c r="A625">
        <v>4703</v>
      </c>
      <c r="B625" t="str">
        <f>"Доход от переоценки иностранной валюты"</f>
        <v>Доход от переоценки иностранной валюты</v>
      </c>
      <c r="C625" t="str">
        <f>""</f>
        <v/>
      </c>
      <c r="D625" t="str">
        <f>""</f>
        <v/>
      </c>
      <c r="E625" t="str">
        <f>""</f>
        <v/>
      </c>
      <c r="F625" s="2">
        <v>46876855086.349998</v>
      </c>
    </row>
    <row r="626" spans="1:6" x14ac:dyDescent="0.25">
      <c r="A626">
        <v>4704</v>
      </c>
      <c r="B626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C626" t="str">
        <f>""</f>
        <v/>
      </c>
      <c r="D626" t="str">
        <f>""</f>
        <v/>
      </c>
      <c r="E626" t="str">
        <f>""</f>
        <v/>
      </c>
      <c r="F626" s="2">
        <v>79059791.109999999</v>
      </c>
    </row>
    <row r="627" spans="1:6" x14ac:dyDescent="0.25">
      <c r="A627">
        <v>4714</v>
      </c>
      <c r="B627" t="str">
        <f>"Доходы от восстановления убытка от обесценения долгосрочных активов, предназначенных для продажи"</f>
        <v>Доходы от восстановления убытка от обесценения долгосрочных активов, предназначенных для продажи</v>
      </c>
      <c r="C627" t="str">
        <f>""</f>
        <v/>
      </c>
      <c r="D627" t="str">
        <f>""</f>
        <v/>
      </c>
      <c r="E627" t="str">
        <f>""</f>
        <v/>
      </c>
      <c r="F627" s="2">
        <v>669000</v>
      </c>
    </row>
    <row r="628" spans="1:6" x14ac:dyDescent="0.25">
      <c r="A628">
        <v>4733</v>
      </c>
      <c r="B628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C628" t="str">
        <f>""</f>
        <v/>
      </c>
      <c r="D628" t="str">
        <f>""</f>
        <v/>
      </c>
      <c r="E628" t="str">
        <f>""</f>
        <v/>
      </c>
      <c r="F628" s="2">
        <v>1753931635.5</v>
      </c>
    </row>
    <row r="629" spans="1:6" x14ac:dyDescent="0.25">
      <c r="A629">
        <v>4852</v>
      </c>
      <c r="B62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629" t="str">
        <f>""</f>
        <v/>
      </c>
      <c r="D629" t="str">
        <f>""</f>
        <v/>
      </c>
      <c r="E629" t="str">
        <f>""</f>
        <v/>
      </c>
      <c r="F629" s="2">
        <v>26000794.690000001</v>
      </c>
    </row>
    <row r="630" spans="1:6" x14ac:dyDescent="0.25">
      <c r="A630">
        <v>4853</v>
      </c>
      <c r="B630" t="str">
        <f>"Доходы от реализации запасов"</f>
        <v>Доходы от реализации запасов</v>
      </c>
      <c r="C630" t="str">
        <f>""</f>
        <v/>
      </c>
      <c r="D630" t="str">
        <f>""</f>
        <v/>
      </c>
      <c r="E630" t="str">
        <f>""</f>
        <v/>
      </c>
      <c r="F630" s="2">
        <v>2283611.7000000002</v>
      </c>
    </row>
    <row r="631" spans="1:6" x14ac:dyDescent="0.25">
      <c r="A631">
        <v>4854</v>
      </c>
      <c r="B63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631" t="str">
        <f>""</f>
        <v/>
      </c>
      <c r="D631" t="str">
        <f>""</f>
        <v/>
      </c>
      <c r="E631" t="str">
        <f>""</f>
        <v/>
      </c>
      <c r="F631" s="2">
        <v>44548228.079999998</v>
      </c>
    </row>
    <row r="632" spans="1:6" x14ac:dyDescent="0.25">
      <c r="A632">
        <v>4892</v>
      </c>
      <c r="B632" t="str">
        <f>"Доходы по операциям форвард"</f>
        <v>Доходы по операциям форвард</v>
      </c>
      <c r="C632" t="str">
        <f>""</f>
        <v/>
      </c>
      <c r="D632" t="str">
        <f>""</f>
        <v/>
      </c>
      <c r="E632" t="str">
        <f>""</f>
        <v/>
      </c>
      <c r="F632" s="2">
        <v>13878539.25</v>
      </c>
    </row>
    <row r="633" spans="1:6" x14ac:dyDescent="0.25">
      <c r="A633">
        <v>4895</v>
      </c>
      <c r="B633" t="str">
        <f>"Доходы по операциям своп"</f>
        <v>Доходы по операциям своп</v>
      </c>
      <c r="C633" t="str">
        <f>""</f>
        <v/>
      </c>
      <c r="D633" t="str">
        <f>""</f>
        <v/>
      </c>
      <c r="E633" t="str">
        <f>""</f>
        <v/>
      </c>
      <c r="F633" s="2">
        <v>2976328664.3499999</v>
      </c>
    </row>
    <row r="634" spans="1:6" x14ac:dyDescent="0.25">
      <c r="A634">
        <v>4900</v>
      </c>
      <c r="B634" t="str">
        <f>"Неустойка (штраф, пеня)"</f>
        <v>Неустойка (штраф, пеня)</v>
      </c>
      <c r="C634" t="str">
        <f>""</f>
        <v/>
      </c>
      <c r="D634" t="str">
        <f>""</f>
        <v/>
      </c>
      <c r="E634" t="str">
        <f>""</f>
        <v/>
      </c>
      <c r="F634" s="2">
        <v>2140082241.9300001</v>
      </c>
    </row>
    <row r="635" spans="1:6" x14ac:dyDescent="0.25">
      <c r="A635">
        <v>4921</v>
      </c>
      <c r="B635" t="str">
        <f>"Прочие доходы от банковской деятельности"</f>
        <v>Прочие доходы от банковской деятельности</v>
      </c>
      <c r="C635" t="str">
        <f>""</f>
        <v/>
      </c>
      <c r="D635" t="str">
        <f>""</f>
        <v/>
      </c>
      <c r="E635" t="str">
        <f>""</f>
        <v/>
      </c>
      <c r="F635" s="2">
        <v>113586298.51000001</v>
      </c>
    </row>
    <row r="636" spans="1:6" x14ac:dyDescent="0.25">
      <c r="A636">
        <v>4922</v>
      </c>
      <c r="B636" t="str">
        <f>"Прочие доходы от неосновной деятельности"</f>
        <v>Прочие доходы от неосновной деятельности</v>
      </c>
      <c r="C636" t="str">
        <f>""</f>
        <v/>
      </c>
      <c r="D636" t="str">
        <f>""</f>
        <v/>
      </c>
      <c r="E636" t="str">
        <f>""</f>
        <v/>
      </c>
      <c r="F636" s="2">
        <v>23679953.77</v>
      </c>
    </row>
    <row r="637" spans="1:6" x14ac:dyDescent="0.25">
      <c r="A637">
        <v>4953</v>
      </c>
      <c r="B637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637" t="str">
        <f>""</f>
        <v/>
      </c>
      <c r="D637" t="str">
        <f>""</f>
        <v/>
      </c>
      <c r="E637" t="str">
        <f>""</f>
        <v/>
      </c>
      <c r="F637" s="2">
        <v>4015360002.9299998</v>
      </c>
    </row>
    <row r="638" spans="1:6" x14ac:dyDescent="0.25">
      <c r="A638">
        <v>4954</v>
      </c>
      <c r="B638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C638" t="str">
        <f>""</f>
        <v/>
      </c>
      <c r="D638" t="str">
        <f>""</f>
        <v/>
      </c>
      <c r="E638" t="str">
        <f>""</f>
        <v/>
      </c>
      <c r="F638" s="2">
        <v>65911877.100000001</v>
      </c>
    </row>
    <row r="639" spans="1:6" x14ac:dyDescent="0.25">
      <c r="A639">
        <v>4955</v>
      </c>
      <c r="B639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639" t="str">
        <f>""</f>
        <v/>
      </c>
      <c r="D639" t="str">
        <f>""</f>
        <v/>
      </c>
      <c r="E639" t="str">
        <f>""</f>
        <v/>
      </c>
      <c r="F639" s="2">
        <v>89830855062.050003</v>
      </c>
    </row>
    <row r="640" spans="1:6" x14ac:dyDescent="0.25">
      <c r="A640">
        <v>4956</v>
      </c>
      <c r="B640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640" t="str">
        <f>""</f>
        <v/>
      </c>
      <c r="D640" t="str">
        <f>""</f>
        <v/>
      </c>
      <c r="E640" t="str">
        <f>""</f>
        <v/>
      </c>
      <c r="F640" s="2">
        <v>6816723.9800000004</v>
      </c>
    </row>
    <row r="641" spans="1:6" x14ac:dyDescent="0.25">
      <c r="A641">
        <v>4957</v>
      </c>
      <c r="B64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641" t="str">
        <f>""</f>
        <v/>
      </c>
      <c r="D641" t="str">
        <f>""</f>
        <v/>
      </c>
      <c r="E641" t="str">
        <f>""</f>
        <v/>
      </c>
      <c r="F641" s="2">
        <v>160962275.28</v>
      </c>
    </row>
    <row r="642" spans="1:6" x14ac:dyDescent="0.25">
      <c r="A642">
        <v>4958</v>
      </c>
      <c r="B64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642" t="str">
        <f>""</f>
        <v/>
      </c>
      <c r="D642" t="str">
        <f>""</f>
        <v/>
      </c>
      <c r="E642" t="str">
        <f>""</f>
        <v/>
      </c>
      <c r="F642" s="2">
        <v>55114004.340000004</v>
      </c>
    </row>
    <row r="643" spans="1:6" x14ac:dyDescent="0.25">
      <c r="A643">
        <v>4959</v>
      </c>
      <c r="B643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643" t="str">
        <f>""</f>
        <v/>
      </c>
      <c r="D643" t="str">
        <f>""</f>
        <v/>
      </c>
      <c r="E643" t="str">
        <f>""</f>
        <v/>
      </c>
      <c r="F643" s="2">
        <v>563506</v>
      </c>
    </row>
    <row r="644" spans="1:6" x14ac:dyDescent="0.25">
      <c r="A644">
        <v>4963</v>
      </c>
      <c r="B644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C644" t="str">
        <f>""</f>
        <v/>
      </c>
      <c r="D644" t="str">
        <f>""</f>
        <v/>
      </c>
      <c r="E644" t="str">
        <f>""</f>
        <v/>
      </c>
      <c r="F644" s="2">
        <v>83884671.769999996</v>
      </c>
    </row>
    <row r="645" spans="1:6" x14ac:dyDescent="0.25">
      <c r="A645">
        <v>5036</v>
      </c>
      <c r="B645" t="str">
        <f>"Расходы,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Казахстан"</f>
        <v>Расходы, связанные с выплатой вознаграждения по долгосрочным займам, полученным от Правительства и местных исполнительных органов Республики Казахстан</v>
      </c>
      <c r="C645" t="str">
        <f>""</f>
        <v/>
      </c>
      <c r="D645" t="str">
        <f>""</f>
        <v/>
      </c>
      <c r="E645" t="str">
        <f>""</f>
        <v/>
      </c>
      <c r="F645" s="2">
        <v>29082927.02</v>
      </c>
    </row>
    <row r="646" spans="1:6" x14ac:dyDescent="0.25">
      <c r="A646">
        <v>5056</v>
      </c>
      <c r="B646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646" t="str">
        <f>""</f>
        <v/>
      </c>
      <c r="D646" t="str">
        <f>""</f>
        <v/>
      </c>
      <c r="E646" t="str">
        <f>""</f>
        <v/>
      </c>
      <c r="F646" s="2">
        <v>143145204.56</v>
      </c>
    </row>
    <row r="647" spans="1:6" x14ac:dyDescent="0.25">
      <c r="A647">
        <v>5066</v>
      </c>
      <c r="B647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647" t="str">
        <f>""</f>
        <v/>
      </c>
      <c r="D647" t="str">
        <f>""</f>
        <v/>
      </c>
      <c r="E647" t="str">
        <f>""</f>
        <v/>
      </c>
      <c r="F647" s="2">
        <v>558890227.66999996</v>
      </c>
    </row>
    <row r="648" spans="1:6" x14ac:dyDescent="0.25">
      <c r="A648">
        <v>5071</v>
      </c>
      <c r="B648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C648" t="str">
        <f>""</f>
        <v/>
      </c>
      <c r="D648" t="str">
        <f>""</f>
        <v/>
      </c>
      <c r="E648" t="str">
        <f>""</f>
        <v/>
      </c>
      <c r="F648" s="2">
        <v>403897024.56999999</v>
      </c>
    </row>
    <row r="649" spans="1:6" x14ac:dyDescent="0.25">
      <c r="A649">
        <v>5203</v>
      </c>
      <c r="B649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C649" t="str">
        <f>""</f>
        <v/>
      </c>
      <c r="D649" t="str">
        <f>""</f>
        <v/>
      </c>
      <c r="E649" t="str">
        <f>""</f>
        <v/>
      </c>
      <c r="F649" s="2">
        <v>5775333.5199999996</v>
      </c>
    </row>
    <row r="650" spans="1:6" x14ac:dyDescent="0.25">
      <c r="A650">
        <v>5211</v>
      </c>
      <c r="B650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C650" t="str">
        <f>""</f>
        <v/>
      </c>
      <c r="D650" t="str">
        <f>""</f>
        <v/>
      </c>
      <c r="E650" t="str">
        <f>""</f>
        <v/>
      </c>
      <c r="F650" s="2">
        <v>2572849124.1500001</v>
      </c>
    </row>
    <row r="651" spans="1:6" x14ac:dyDescent="0.25">
      <c r="A651">
        <v>5215</v>
      </c>
      <c r="B65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651" t="str">
        <f>""</f>
        <v/>
      </c>
      <c r="D651" t="str">
        <f>""</f>
        <v/>
      </c>
      <c r="E651" t="str">
        <f>""</f>
        <v/>
      </c>
      <c r="F651" s="2">
        <v>24207783074.330002</v>
      </c>
    </row>
    <row r="652" spans="1:6" x14ac:dyDescent="0.25">
      <c r="A652">
        <v>5217</v>
      </c>
      <c r="B65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652" t="str">
        <f>""</f>
        <v/>
      </c>
      <c r="D652" t="str">
        <f>""</f>
        <v/>
      </c>
      <c r="E652" t="str">
        <f>""</f>
        <v/>
      </c>
      <c r="F652" s="2">
        <v>11104977146.68</v>
      </c>
    </row>
    <row r="653" spans="1:6" x14ac:dyDescent="0.25">
      <c r="A653">
        <v>5218</v>
      </c>
      <c r="B653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653" t="str">
        <f>""</f>
        <v/>
      </c>
      <c r="D653" t="str">
        <f>""</f>
        <v/>
      </c>
      <c r="E653" t="str">
        <f>""</f>
        <v/>
      </c>
      <c r="F653" s="2">
        <v>7614281784.6499996</v>
      </c>
    </row>
    <row r="654" spans="1:6" x14ac:dyDescent="0.25">
      <c r="A654">
        <v>5219</v>
      </c>
      <c r="B65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654" t="str">
        <f>""</f>
        <v/>
      </c>
      <c r="D654" t="str">
        <f>""</f>
        <v/>
      </c>
      <c r="E654" t="str">
        <f>""</f>
        <v/>
      </c>
      <c r="F654" s="2">
        <v>502389.05</v>
      </c>
    </row>
    <row r="655" spans="1:6" x14ac:dyDescent="0.25">
      <c r="A655">
        <v>5220</v>
      </c>
      <c r="B655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655" t="str">
        <f>""</f>
        <v/>
      </c>
      <c r="D655" t="str">
        <f>""</f>
        <v/>
      </c>
      <c r="E655" t="str">
        <f>""</f>
        <v/>
      </c>
      <c r="F655" s="2">
        <v>2093535896.3099999</v>
      </c>
    </row>
    <row r="656" spans="1:6" x14ac:dyDescent="0.25">
      <c r="A656">
        <v>5223</v>
      </c>
      <c r="B656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656" t="str">
        <f>""</f>
        <v/>
      </c>
      <c r="D656" t="str">
        <f>""</f>
        <v/>
      </c>
      <c r="E656" t="str">
        <f>""</f>
        <v/>
      </c>
      <c r="F656" s="2">
        <v>620841525.03999996</v>
      </c>
    </row>
    <row r="657" spans="1:6" x14ac:dyDescent="0.25">
      <c r="A657">
        <v>5227</v>
      </c>
      <c r="B657" t="str">
        <f>"Процентные расходы по обязательствам по аренде"</f>
        <v>Процентные расходы по обязательствам по аренде</v>
      </c>
      <c r="C657" t="str">
        <f>""</f>
        <v/>
      </c>
      <c r="D657" t="str">
        <f>""</f>
        <v/>
      </c>
      <c r="E657" t="str">
        <f>""</f>
        <v/>
      </c>
      <c r="F657" s="2">
        <v>258851707.25999999</v>
      </c>
    </row>
    <row r="658" spans="1:6" x14ac:dyDescent="0.25">
      <c r="A658">
        <v>5232</v>
      </c>
      <c r="B658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C658" t="str">
        <f>""</f>
        <v/>
      </c>
      <c r="D658" t="str">
        <f>""</f>
        <v/>
      </c>
      <c r="E658" t="str">
        <f>""</f>
        <v/>
      </c>
      <c r="F658" s="2">
        <v>679184.09</v>
      </c>
    </row>
    <row r="659" spans="1:6" x14ac:dyDescent="0.25">
      <c r="A659">
        <v>5240</v>
      </c>
      <c r="B659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659" t="str">
        <f>""</f>
        <v/>
      </c>
      <c r="D659" t="str">
        <f>""</f>
        <v/>
      </c>
      <c r="E659" t="str">
        <f>""</f>
        <v/>
      </c>
      <c r="F659" s="2">
        <v>802570513.95000005</v>
      </c>
    </row>
    <row r="660" spans="1:6" x14ac:dyDescent="0.25">
      <c r="A660">
        <v>5250</v>
      </c>
      <c r="B660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660" t="str">
        <f>""</f>
        <v/>
      </c>
      <c r="D660" t="str">
        <f>""</f>
        <v/>
      </c>
      <c r="E660" t="str">
        <f>""</f>
        <v/>
      </c>
      <c r="F660" s="2">
        <v>474749519.47000003</v>
      </c>
    </row>
    <row r="661" spans="1:6" x14ac:dyDescent="0.25">
      <c r="A661">
        <v>5301</v>
      </c>
      <c r="B66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661" t="str">
        <f>""</f>
        <v/>
      </c>
      <c r="D661" t="str">
        <f>""</f>
        <v/>
      </c>
      <c r="E661" t="str">
        <f>""</f>
        <v/>
      </c>
      <c r="F661" s="2">
        <v>930605515.24000001</v>
      </c>
    </row>
    <row r="662" spans="1:6" x14ac:dyDescent="0.25">
      <c r="A662">
        <v>5306</v>
      </c>
      <c r="B66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C662" t="str">
        <f>""</f>
        <v/>
      </c>
      <c r="D662" t="str">
        <f>""</f>
        <v/>
      </c>
      <c r="E662" t="str">
        <f>""</f>
        <v/>
      </c>
      <c r="F662" s="2">
        <v>730225159.10000002</v>
      </c>
    </row>
    <row r="663" spans="1:6" x14ac:dyDescent="0.25">
      <c r="A663">
        <v>5307</v>
      </c>
      <c r="B663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663" t="str">
        <f>""</f>
        <v/>
      </c>
      <c r="D663" t="str">
        <f>""</f>
        <v/>
      </c>
      <c r="E663" t="str">
        <f>""</f>
        <v/>
      </c>
      <c r="F663" s="2">
        <v>93514127.060000002</v>
      </c>
    </row>
    <row r="664" spans="1:6" x14ac:dyDescent="0.25">
      <c r="A664">
        <v>5308</v>
      </c>
      <c r="B664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C664" t="str">
        <f>""</f>
        <v/>
      </c>
      <c r="D664" t="str">
        <f>""</f>
        <v/>
      </c>
      <c r="E664" t="str">
        <f>""</f>
        <v/>
      </c>
      <c r="F664" s="2">
        <v>1791945925.4000001</v>
      </c>
    </row>
    <row r="665" spans="1:6" x14ac:dyDescent="0.25">
      <c r="A665">
        <v>5309</v>
      </c>
      <c r="B665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665" t="str">
        <f>""</f>
        <v/>
      </c>
      <c r="D665" t="str">
        <f>""</f>
        <v/>
      </c>
      <c r="E665" t="str">
        <f>""</f>
        <v/>
      </c>
      <c r="F665" s="2">
        <v>487014915.51999998</v>
      </c>
    </row>
    <row r="666" spans="1:6" x14ac:dyDescent="0.25">
      <c r="A666">
        <v>5404</v>
      </c>
      <c r="B66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C666" t="str">
        <f>""</f>
        <v/>
      </c>
      <c r="D666" t="str">
        <f>""</f>
        <v/>
      </c>
      <c r="E666" t="str">
        <f>""</f>
        <v/>
      </c>
      <c r="F666" s="2">
        <v>3639181343.8499999</v>
      </c>
    </row>
    <row r="667" spans="1:6" x14ac:dyDescent="0.25">
      <c r="A667">
        <v>5406</v>
      </c>
      <c r="B66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C667" t="str">
        <f>""</f>
        <v/>
      </c>
      <c r="D667" t="str">
        <f>""</f>
        <v/>
      </c>
      <c r="E667" t="str">
        <f>""</f>
        <v/>
      </c>
      <c r="F667" s="2">
        <v>7478044622.9200001</v>
      </c>
    </row>
    <row r="668" spans="1:6" x14ac:dyDescent="0.25">
      <c r="A668">
        <v>5451</v>
      </c>
      <c r="B66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668" t="str">
        <f>""</f>
        <v/>
      </c>
      <c r="D668" t="str">
        <f>""</f>
        <v/>
      </c>
      <c r="E668" t="str">
        <f>""</f>
        <v/>
      </c>
      <c r="F668" s="2">
        <v>9123418</v>
      </c>
    </row>
    <row r="669" spans="1:6" x14ac:dyDescent="0.25">
      <c r="A669">
        <v>5453</v>
      </c>
      <c r="B66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669" t="str">
        <f>""</f>
        <v/>
      </c>
      <c r="D669" t="str">
        <f>""</f>
        <v/>
      </c>
      <c r="E669" t="str">
        <f>""</f>
        <v/>
      </c>
      <c r="F669" s="2">
        <v>1877253965.72</v>
      </c>
    </row>
    <row r="670" spans="1:6" x14ac:dyDescent="0.25">
      <c r="A670">
        <v>5455</v>
      </c>
      <c r="B67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670" t="str">
        <f>""</f>
        <v/>
      </c>
      <c r="D670" t="str">
        <f>""</f>
        <v/>
      </c>
      <c r="E670" t="str">
        <f>""</f>
        <v/>
      </c>
      <c r="F670" s="2">
        <v>126488098283.02</v>
      </c>
    </row>
    <row r="671" spans="1:6" x14ac:dyDescent="0.25">
      <c r="A671">
        <v>5456</v>
      </c>
      <c r="B67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671" t="str">
        <f>""</f>
        <v/>
      </c>
      <c r="D671" t="str">
        <f>""</f>
        <v/>
      </c>
      <c r="E671" t="str">
        <f>""</f>
        <v/>
      </c>
      <c r="F671" s="2">
        <v>5354111.3499999996</v>
      </c>
    </row>
    <row r="672" spans="1:6" x14ac:dyDescent="0.25">
      <c r="A672">
        <v>5457</v>
      </c>
      <c r="B67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672" t="str">
        <f>""</f>
        <v/>
      </c>
      <c r="D672" t="str">
        <f>""</f>
        <v/>
      </c>
      <c r="E672" t="str">
        <f>""</f>
        <v/>
      </c>
      <c r="F672" s="2">
        <v>275251306.85000002</v>
      </c>
    </row>
    <row r="673" spans="1:6" x14ac:dyDescent="0.25">
      <c r="A673">
        <v>5459</v>
      </c>
      <c r="B67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C673" t="str">
        <f>""</f>
        <v/>
      </c>
      <c r="D673" t="str">
        <f>""</f>
        <v/>
      </c>
      <c r="E673" t="str">
        <f>""</f>
        <v/>
      </c>
      <c r="F673" s="2">
        <v>14709223.18</v>
      </c>
    </row>
    <row r="674" spans="1:6" x14ac:dyDescent="0.25">
      <c r="A674">
        <v>5461</v>
      </c>
      <c r="B674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674" t="str">
        <f>""</f>
        <v/>
      </c>
      <c r="D674" t="str">
        <f>""</f>
        <v/>
      </c>
      <c r="E674" t="str">
        <f>""</f>
        <v/>
      </c>
      <c r="F674" s="2">
        <v>146693509.61000001</v>
      </c>
    </row>
    <row r="675" spans="1:6" x14ac:dyDescent="0.25">
      <c r="A675">
        <v>5464</v>
      </c>
      <c r="B67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C675" t="str">
        <f>""</f>
        <v/>
      </c>
      <c r="D675" t="str">
        <f>""</f>
        <v/>
      </c>
      <c r="E675" t="str">
        <f>""</f>
        <v/>
      </c>
      <c r="F675" s="2">
        <v>124831850.95999999</v>
      </c>
    </row>
    <row r="676" spans="1:6" x14ac:dyDescent="0.25">
      <c r="A676">
        <v>5465</v>
      </c>
      <c r="B67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676" t="str">
        <f>""</f>
        <v/>
      </c>
      <c r="D676" t="str">
        <f>""</f>
        <v/>
      </c>
      <c r="E676" t="str">
        <f>""</f>
        <v/>
      </c>
      <c r="F676" s="2">
        <v>226993679.71000001</v>
      </c>
    </row>
    <row r="677" spans="1:6" x14ac:dyDescent="0.25">
      <c r="A677">
        <v>5468</v>
      </c>
      <c r="B677" t="str">
        <f>"Расходы на формирование резервов оценочных обязательств"</f>
        <v>Расходы на формирование резервов оценочных обязательств</v>
      </c>
      <c r="C677" t="str">
        <f>""</f>
        <v/>
      </c>
      <c r="D677" t="str">
        <f>""</f>
        <v/>
      </c>
      <c r="E677" t="str">
        <f>""</f>
        <v/>
      </c>
      <c r="F677" s="2">
        <v>2685897.62</v>
      </c>
    </row>
    <row r="678" spans="1:6" x14ac:dyDescent="0.25">
      <c r="A678">
        <v>5510</v>
      </c>
      <c r="B678" t="str">
        <f>"Расходы по купле-продаже ценных бумаг"</f>
        <v>Расходы по купле-продаже ценных бумаг</v>
      </c>
      <c r="C678" t="str">
        <f>""</f>
        <v/>
      </c>
      <c r="D678" t="str">
        <f>""</f>
        <v/>
      </c>
      <c r="E678" t="str">
        <f>""</f>
        <v/>
      </c>
      <c r="F678" s="2">
        <v>55098497.090000004</v>
      </c>
    </row>
    <row r="679" spans="1:6" x14ac:dyDescent="0.25">
      <c r="A679">
        <v>5530</v>
      </c>
      <c r="B679" t="str">
        <f>"Расходы по купле-продаже иностранной валюты"</f>
        <v>Расходы по купле-продаже иностранной валюты</v>
      </c>
      <c r="C679" t="str">
        <f>""</f>
        <v/>
      </c>
      <c r="D679" t="str">
        <f>""</f>
        <v/>
      </c>
      <c r="E679" t="str">
        <f>""</f>
        <v/>
      </c>
      <c r="F679" s="2">
        <v>16861000022.190001</v>
      </c>
    </row>
    <row r="680" spans="1:6" x14ac:dyDescent="0.25">
      <c r="A680">
        <v>5540</v>
      </c>
      <c r="B680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C680" t="str">
        <f>""</f>
        <v/>
      </c>
      <c r="D680" t="str">
        <f>""</f>
        <v/>
      </c>
      <c r="E680" t="str">
        <f>""</f>
        <v/>
      </c>
      <c r="F680" s="2">
        <v>125293.22</v>
      </c>
    </row>
    <row r="681" spans="1:6" x14ac:dyDescent="0.25">
      <c r="A681">
        <v>5570</v>
      </c>
      <c r="B681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C681" t="str">
        <f>""</f>
        <v/>
      </c>
      <c r="D681" t="str">
        <f>""</f>
        <v/>
      </c>
      <c r="E681" t="str">
        <f>""</f>
        <v/>
      </c>
      <c r="F681" s="2">
        <v>2911906.48</v>
      </c>
    </row>
    <row r="682" spans="1:6" x14ac:dyDescent="0.25">
      <c r="A682">
        <v>5593</v>
      </c>
      <c r="B682" t="str">
        <f>"Расходы от переоценки операций своп"</f>
        <v>Расходы от переоценки операций своп</v>
      </c>
      <c r="C682" t="str">
        <f>""</f>
        <v/>
      </c>
      <c r="D682" t="str">
        <f>""</f>
        <v/>
      </c>
      <c r="E682" t="str">
        <f>""</f>
        <v/>
      </c>
      <c r="F682" s="2">
        <v>4290000</v>
      </c>
    </row>
    <row r="683" spans="1:6" x14ac:dyDescent="0.25">
      <c r="A683">
        <v>5601</v>
      </c>
      <c r="B683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683" t="str">
        <f>""</f>
        <v/>
      </c>
      <c r="D683" t="str">
        <f>""</f>
        <v/>
      </c>
      <c r="E683" t="str">
        <f>""</f>
        <v/>
      </c>
      <c r="F683" s="2">
        <v>365603125.00999999</v>
      </c>
    </row>
    <row r="684" spans="1:6" x14ac:dyDescent="0.25">
      <c r="A684">
        <v>5602</v>
      </c>
      <c r="B684" t="str">
        <f>"Комиссионные расходы по полученным агентским услугам"</f>
        <v>Комиссионные расходы по полученным агентским услугам</v>
      </c>
      <c r="C684" t="str">
        <f>""</f>
        <v/>
      </c>
      <c r="D684" t="str">
        <f>""</f>
        <v/>
      </c>
      <c r="E684" t="str">
        <f>""</f>
        <v/>
      </c>
      <c r="F684" s="2">
        <v>1532201382.1700001</v>
      </c>
    </row>
    <row r="685" spans="1:6" x14ac:dyDescent="0.25">
      <c r="A685">
        <v>5603</v>
      </c>
      <c r="B685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C685" t="str">
        <f>""</f>
        <v/>
      </c>
      <c r="D685" t="str">
        <f>""</f>
        <v/>
      </c>
      <c r="E685" t="str">
        <f>""</f>
        <v/>
      </c>
      <c r="F685" s="2">
        <v>7050934.3899999997</v>
      </c>
    </row>
    <row r="686" spans="1:6" x14ac:dyDescent="0.25">
      <c r="A686">
        <v>5606</v>
      </c>
      <c r="B686" t="str">
        <f>"Комиссионные расходы по полученным услугам по гарантиям"</f>
        <v>Комиссионные расходы по полученным услугам по гарантиям</v>
      </c>
      <c r="C686" t="str">
        <f>""</f>
        <v/>
      </c>
      <c r="D686" t="str">
        <f>""</f>
        <v/>
      </c>
      <c r="E686" t="str">
        <f>""</f>
        <v/>
      </c>
      <c r="F686" s="2">
        <v>8029142.6500000004</v>
      </c>
    </row>
    <row r="687" spans="1:6" x14ac:dyDescent="0.25">
      <c r="A687">
        <v>5607</v>
      </c>
      <c r="B687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C687" t="str">
        <f>""</f>
        <v/>
      </c>
      <c r="D687" t="str">
        <f>""</f>
        <v/>
      </c>
      <c r="E687" t="str">
        <f>""</f>
        <v/>
      </c>
      <c r="F687" s="2">
        <v>18653746.600000001</v>
      </c>
    </row>
    <row r="688" spans="1:6" x14ac:dyDescent="0.25">
      <c r="A688">
        <v>5608</v>
      </c>
      <c r="B688" t="str">
        <f>"Прочие комиссионные расходы"</f>
        <v>Прочие комиссионные расходы</v>
      </c>
      <c r="C688" t="str">
        <f>""</f>
        <v/>
      </c>
      <c r="D688" t="str">
        <f>""</f>
        <v/>
      </c>
      <c r="E688" t="str">
        <f>""</f>
        <v/>
      </c>
      <c r="F688" s="2">
        <v>6931647192.79</v>
      </c>
    </row>
    <row r="689" spans="1:6" x14ac:dyDescent="0.25">
      <c r="A689">
        <v>5609</v>
      </c>
      <c r="B68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689" t="str">
        <f>""</f>
        <v/>
      </c>
      <c r="D689" t="str">
        <f>""</f>
        <v/>
      </c>
      <c r="E689" t="str">
        <f>""</f>
        <v/>
      </c>
      <c r="F689" s="2">
        <v>71501961.769999996</v>
      </c>
    </row>
    <row r="690" spans="1:6" x14ac:dyDescent="0.25">
      <c r="A690">
        <v>5703</v>
      </c>
      <c r="B690" t="str">
        <f>"Расходы от переоценки иностранной валюты"</f>
        <v>Расходы от переоценки иностранной валюты</v>
      </c>
      <c r="C690" t="str">
        <f>""</f>
        <v/>
      </c>
      <c r="D690" t="str">
        <f>""</f>
        <v/>
      </c>
      <c r="E690" t="str">
        <f>""</f>
        <v/>
      </c>
      <c r="F690" s="2">
        <v>48588748355.610001</v>
      </c>
    </row>
    <row r="691" spans="1:6" x14ac:dyDescent="0.25">
      <c r="A691">
        <v>5704</v>
      </c>
      <c r="B69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C691" t="str">
        <f>""</f>
        <v/>
      </c>
      <c r="D691" t="str">
        <f>""</f>
        <v/>
      </c>
      <c r="E691" t="str">
        <f>""</f>
        <v/>
      </c>
      <c r="F691" s="2">
        <v>82995022.510000005</v>
      </c>
    </row>
    <row r="692" spans="1:6" x14ac:dyDescent="0.25">
      <c r="A692">
        <v>5711</v>
      </c>
      <c r="B692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C692" t="str">
        <f>""</f>
        <v/>
      </c>
      <c r="D692" t="str">
        <f>""</f>
        <v/>
      </c>
      <c r="E692" t="str">
        <f>""</f>
        <v/>
      </c>
      <c r="F692" s="2">
        <v>25839870.510000002</v>
      </c>
    </row>
    <row r="693" spans="1:6" x14ac:dyDescent="0.25">
      <c r="A693">
        <v>5715</v>
      </c>
      <c r="B693" t="str">
        <f>"Расходы от обесценения долгосрочных активов, предназначенных для продажи"</f>
        <v>Расходы от обесценения долгосрочных активов, предназначенных для продажи</v>
      </c>
      <c r="C693" t="str">
        <f>""</f>
        <v/>
      </c>
      <c r="D693" t="str">
        <f>""</f>
        <v/>
      </c>
      <c r="E693" t="str">
        <f>""</f>
        <v/>
      </c>
      <c r="F693" s="2">
        <v>82130482</v>
      </c>
    </row>
    <row r="694" spans="1:6" x14ac:dyDescent="0.25">
      <c r="A694">
        <v>5721</v>
      </c>
      <c r="B694" t="str">
        <f>"Расходы по оплате труда"</f>
        <v>Расходы по оплате труда</v>
      </c>
      <c r="C694" t="str">
        <f>""</f>
        <v/>
      </c>
      <c r="D694" t="str">
        <f>""</f>
        <v/>
      </c>
      <c r="E694" t="str">
        <f>""</f>
        <v/>
      </c>
      <c r="F694" s="2">
        <v>20953456844.380001</v>
      </c>
    </row>
    <row r="695" spans="1:6" x14ac:dyDescent="0.25">
      <c r="A695">
        <v>5722</v>
      </c>
      <c r="B695" t="str">
        <f>"Социальные отчисления"</f>
        <v>Социальные отчисления</v>
      </c>
      <c r="C695" t="str">
        <f>""</f>
        <v/>
      </c>
      <c r="D695" t="str">
        <f>""</f>
        <v/>
      </c>
      <c r="E695" t="str">
        <f>""</f>
        <v/>
      </c>
      <c r="F695" s="2">
        <v>643554209</v>
      </c>
    </row>
    <row r="696" spans="1:6" x14ac:dyDescent="0.25">
      <c r="A696">
        <v>5729</v>
      </c>
      <c r="B696" t="str">
        <f>"Прочие выплаты"</f>
        <v>Прочие выплаты</v>
      </c>
      <c r="C696" t="str">
        <f>""</f>
        <v/>
      </c>
      <c r="D696" t="str">
        <f>""</f>
        <v/>
      </c>
      <c r="E696" t="str">
        <f>""</f>
        <v/>
      </c>
      <c r="F696" s="2">
        <v>992588738.11000001</v>
      </c>
    </row>
    <row r="697" spans="1:6" x14ac:dyDescent="0.25">
      <c r="A697">
        <v>5733</v>
      </c>
      <c r="B697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C697" t="str">
        <f>""</f>
        <v/>
      </c>
      <c r="D697" t="str">
        <f>""</f>
        <v/>
      </c>
      <c r="E697" t="str">
        <f>""</f>
        <v/>
      </c>
      <c r="F697" s="2">
        <v>126292233.14</v>
      </c>
    </row>
    <row r="698" spans="1:6" x14ac:dyDescent="0.25">
      <c r="A698">
        <v>5741</v>
      </c>
      <c r="B698" t="str">
        <f>"Транспортные расходы"</f>
        <v>Транспортные расходы</v>
      </c>
      <c r="C698" t="str">
        <f>""</f>
        <v/>
      </c>
      <c r="D698" t="str">
        <f>""</f>
        <v/>
      </c>
      <c r="E698" t="str">
        <f>""</f>
        <v/>
      </c>
      <c r="F698" s="2">
        <v>52498303.82</v>
      </c>
    </row>
    <row r="699" spans="1:6" x14ac:dyDescent="0.25">
      <c r="A699">
        <v>5742</v>
      </c>
      <c r="B699" t="str">
        <f>"Административные расходы"</f>
        <v>Административные расходы</v>
      </c>
      <c r="C699" t="str">
        <f>""</f>
        <v/>
      </c>
      <c r="D699" t="str">
        <f>""</f>
        <v/>
      </c>
      <c r="E699" t="str">
        <f>""</f>
        <v/>
      </c>
      <c r="F699" s="2">
        <v>5142474432.8999996</v>
      </c>
    </row>
    <row r="700" spans="1:6" x14ac:dyDescent="0.25">
      <c r="A700">
        <v>5743</v>
      </c>
      <c r="B700" t="str">
        <f>"Расходы на инкассацию"</f>
        <v>Расходы на инкассацию</v>
      </c>
      <c r="C700" t="str">
        <f>""</f>
        <v/>
      </c>
      <c r="D700" t="str">
        <f>""</f>
        <v/>
      </c>
      <c r="E700" t="str">
        <f>""</f>
        <v/>
      </c>
      <c r="F700" s="2">
        <v>320046139.75999999</v>
      </c>
    </row>
    <row r="701" spans="1:6" x14ac:dyDescent="0.25">
      <c r="A701">
        <v>5744</v>
      </c>
      <c r="B701" t="str">
        <f>"Расходы на ремонт"</f>
        <v>Расходы на ремонт</v>
      </c>
      <c r="C701" t="str">
        <f>""</f>
        <v/>
      </c>
      <c r="D701" t="str">
        <f>""</f>
        <v/>
      </c>
      <c r="E701" t="str">
        <f>""</f>
        <v/>
      </c>
      <c r="F701" s="2">
        <v>224140505.86000001</v>
      </c>
    </row>
    <row r="702" spans="1:6" x14ac:dyDescent="0.25">
      <c r="A702">
        <v>5745</v>
      </c>
      <c r="B702" t="str">
        <f>"Расходы на рекламу"</f>
        <v>Расходы на рекламу</v>
      </c>
      <c r="C702" t="str">
        <f>""</f>
        <v/>
      </c>
      <c r="D702" t="str">
        <f>""</f>
        <v/>
      </c>
      <c r="E702" t="str">
        <f>""</f>
        <v/>
      </c>
      <c r="F702" s="2">
        <v>630221385.25999999</v>
      </c>
    </row>
    <row r="703" spans="1:6" x14ac:dyDescent="0.25">
      <c r="A703">
        <v>5746</v>
      </c>
      <c r="B703" t="str">
        <f>"Расходы на охрану и сигнализацию"</f>
        <v>Расходы на охрану и сигнализацию</v>
      </c>
      <c r="C703" t="str">
        <f>""</f>
        <v/>
      </c>
      <c r="D703" t="str">
        <f>""</f>
        <v/>
      </c>
      <c r="E703" t="str">
        <f>""</f>
        <v/>
      </c>
      <c r="F703" s="2">
        <v>844484716.07000005</v>
      </c>
    </row>
    <row r="704" spans="1:6" x14ac:dyDescent="0.25">
      <c r="A704">
        <v>5747</v>
      </c>
      <c r="B704" t="str">
        <f>"Представительские расходы"</f>
        <v>Представительские расходы</v>
      </c>
      <c r="C704" t="str">
        <f>""</f>
        <v/>
      </c>
      <c r="D704" t="str">
        <f>""</f>
        <v/>
      </c>
      <c r="E704" t="str">
        <f>""</f>
        <v/>
      </c>
      <c r="F704" s="2">
        <v>2285172.91</v>
      </c>
    </row>
    <row r="705" spans="1:6" x14ac:dyDescent="0.25">
      <c r="A705">
        <v>5748</v>
      </c>
      <c r="B705" t="str">
        <f>"Прочие общехозяйственные расходы"</f>
        <v>Прочие общехозяйственные расходы</v>
      </c>
      <c r="C705" t="str">
        <f>""</f>
        <v/>
      </c>
      <c r="D705" t="str">
        <f>""</f>
        <v/>
      </c>
      <c r="E705" t="str">
        <f>""</f>
        <v/>
      </c>
      <c r="F705" s="2">
        <v>4341245.37</v>
      </c>
    </row>
    <row r="706" spans="1:6" x14ac:dyDescent="0.25">
      <c r="A706">
        <v>5749</v>
      </c>
      <c r="B706" t="str">
        <f>"Расходы на служебные командировки"</f>
        <v>Расходы на служебные командировки</v>
      </c>
      <c r="C706" t="str">
        <f>""</f>
        <v/>
      </c>
      <c r="D706" t="str">
        <f>""</f>
        <v/>
      </c>
      <c r="E706" t="str">
        <f>""</f>
        <v/>
      </c>
      <c r="F706" s="2">
        <v>206643260.19</v>
      </c>
    </row>
    <row r="707" spans="1:6" x14ac:dyDescent="0.25">
      <c r="A707">
        <v>5750</v>
      </c>
      <c r="B707" t="str">
        <f>"Расходы по аудиту и консультационным услугам"</f>
        <v>Расходы по аудиту и консультационным услугам</v>
      </c>
      <c r="C707" t="str">
        <f>""</f>
        <v/>
      </c>
      <c r="D707" t="str">
        <f>""</f>
        <v/>
      </c>
      <c r="E707" t="str">
        <f>""</f>
        <v/>
      </c>
      <c r="F707" s="2">
        <v>337815612.66000003</v>
      </c>
    </row>
    <row r="708" spans="1:6" x14ac:dyDescent="0.25">
      <c r="A708">
        <v>5752</v>
      </c>
      <c r="B708" t="str">
        <f>"Расходы по страхованию"</f>
        <v>Расходы по страхованию</v>
      </c>
      <c r="C708" t="str">
        <f>""</f>
        <v/>
      </c>
      <c r="D708" t="str">
        <f>""</f>
        <v/>
      </c>
      <c r="E708" t="str">
        <f>""</f>
        <v/>
      </c>
      <c r="F708" s="2">
        <v>57188657.899999999</v>
      </c>
    </row>
    <row r="709" spans="1:6" x14ac:dyDescent="0.25">
      <c r="A709">
        <v>5753</v>
      </c>
      <c r="B709" t="str">
        <f>"Расходы по услугам связи"</f>
        <v>Расходы по услугам связи</v>
      </c>
      <c r="C709" t="str">
        <f>""</f>
        <v/>
      </c>
      <c r="D709" t="str">
        <f>""</f>
        <v/>
      </c>
      <c r="E709" t="str">
        <f>""</f>
        <v/>
      </c>
      <c r="F709" s="2">
        <v>1226309514.8800001</v>
      </c>
    </row>
    <row r="710" spans="1:6" x14ac:dyDescent="0.25">
      <c r="A710">
        <v>5754</v>
      </c>
      <c r="B71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710" t="str">
        <f>""</f>
        <v/>
      </c>
      <c r="D710" t="str">
        <f>""</f>
        <v/>
      </c>
      <c r="E710" t="str">
        <f>""</f>
        <v/>
      </c>
      <c r="F710" s="2">
        <v>1946778476.3199999</v>
      </c>
    </row>
    <row r="711" spans="1:6" x14ac:dyDescent="0.25">
      <c r="A711">
        <v>5761</v>
      </c>
      <c r="B711" t="str">
        <f>"Налог на добавленную стоимость"</f>
        <v>Налог на добавленную стоимость</v>
      </c>
      <c r="C711" t="str">
        <f>""</f>
        <v/>
      </c>
      <c r="D711" t="str">
        <f>""</f>
        <v/>
      </c>
      <c r="E711" t="str">
        <f>""</f>
        <v/>
      </c>
      <c r="F711" s="2">
        <v>1033650292.12</v>
      </c>
    </row>
    <row r="712" spans="1:6" x14ac:dyDescent="0.25">
      <c r="A712">
        <v>5763</v>
      </c>
      <c r="B712" t="str">
        <f>"Социальный налог"</f>
        <v>Социальный налог</v>
      </c>
      <c r="C712" t="str">
        <f>""</f>
        <v/>
      </c>
      <c r="D712" t="str">
        <f>""</f>
        <v/>
      </c>
      <c r="E712" t="str">
        <f>""</f>
        <v/>
      </c>
      <c r="F712" s="2">
        <v>1298501612.6300001</v>
      </c>
    </row>
    <row r="713" spans="1:6" x14ac:dyDescent="0.25">
      <c r="A713">
        <v>5764</v>
      </c>
      <c r="B713" t="str">
        <f>"Земельный налог"</f>
        <v>Земельный налог</v>
      </c>
      <c r="C713" t="str">
        <f>""</f>
        <v/>
      </c>
      <c r="D713" t="str">
        <f>""</f>
        <v/>
      </c>
      <c r="E713" t="str">
        <f>""</f>
        <v/>
      </c>
      <c r="F713" s="2">
        <v>1798565.5</v>
      </c>
    </row>
    <row r="714" spans="1:6" x14ac:dyDescent="0.25">
      <c r="A714">
        <v>5765</v>
      </c>
      <c r="B714" t="str">
        <f>"Налог на имущество юридических лиц"</f>
        <v>Налог на имущество юридических лиц</v>
      </c>
      <c r="C714" t="str">
        <f>""</f>
        <v/>
      </c>
      <c r="D714" t="str">
        <f>""</f>
        <v/>
      </c>
      <c r="E714" t="str">
        <f>""</f>
        <v/>
      </c>
      <c r="F714" s="2">
        <v>150353744.15000001</v>
      </c>
    </row>
    <row r="715" spans="1:6" x14ac:dyDescent="0.25">
      <c r="A715">
        <v>5766</v>
      </c>
      <c r="B715" t="str">
        <f>"Налог на транспортные средства"</f>
        <v>Налог на транспортные средства</v>
      </c>
      <c r="C715" t="str">
        <f>""</f>
        <v/>
      </c>
      <c r="D715" t="str">
        <f>""</f>
        <v/>
      </c>
      <c r="E715" t="str">
        <f>""</f>
        <v/>
      </c>
      <c r="F715" s="2">
        <v>3250940</v>
      </c>
    </row>
    <row r="716" spans="1:6" x14ac:dyDescent="0.25">
      <c r="A716">
        <v>5768</v>
      </c>
      <c r="B716" t="str">
        <f>"Прочие налоги и обязательные платежи в бюджет"</f>
        <v>Прочие налоги и обязательные платежи в бюджет</v>
      </c>
      <c r="C716" t="str">
        <f>""</f>
        <v/>
      </c>
      <c r="D716" t="str">
        <f>""</f>
        <v/>
      </c>
      <c r="E716" t="str">
        <f>""</f>
        <v/>
      </c>
      <c r="F716" s="2">
        <v>10475622.460000001</v>
      </c>
    </row>
    <row r="717" spans="1:6" x14ac:dyDescent="0.25">
      <c r="A717">
        <v>5781</v>
      </c>
      <c r="B717" t="str">
        <f>"Расходы по амортизации зданий и сооружений"</f>
        <v>Расходы по амортизации зданий и сооружений</v>
      </c>
      <c r="C717" t="str">
        <f>""</f>
        <v/>
      </c>
      <c r="D717" t="str">
        <f>""</f>
        <v/>
      </c>
      <c r="E717" t="str">
        <f>""</f>
        <v/>
      </c>
      <c r="F717" s="2">
        <v>149022495</v>
      </c>
    </row>
    <row r="718" spans="1:6" x14ac:dyDescent="0.25">
      <c r="A718">
        <v>5782</v>
      </c>
      <c r="B718" t="str">
        <f>"Расходы по амортизации компьютерного оборудования"</f>
        <v>Расходы по амортизации компьютерного оборудования</v>
      </c>
      <c r="C718" t="str">
        <f>""</f>
        <v/>
      </c>
      <c r="D718" t="str">
        <f>""</f>
        <v/>
      </c>
      <c r="E718" t="str">
        <f>""</f>
        <v/>
      </c>
      <c r="F718" s="2">
        <v>534202806.17000002</v>
      </c>
    </row>
    <row r="719" spans="1:6" x14ac:dyDescent="0.25">
      <c r="A719">
        <v>5783</v>
      </c>
      <c r="B719" t="str">
        <f>"Расходы по амортизации прочих основных средств"</f>
        <v>Расходы по амортизации прочих основных средств</v>
      </c>
      <c r="C719" t="str">
        <f>""</f>
        <v/>
      </c>
      <c r="D719" t="str">
        <f>""</f>
        <v/>
      </c>
      <c r="E719" t="str">
        <f>""</f>
        <v/>
      </c>
      <c r="F719" s="2">
        <v>644365104.95000005</v>
      </c>
    </row>
    <row r="720" spans="1:6" x14ac:dyDescent="0.25">
      <c r="A720">
        <v>5784</v>
      </c>
      <c r="B720" t="str">
        <f>"Расходы по амортизации активов в форме права пользования"</f>
        <v>Расходы по амортизации активов в форме права пользования</v>
      </c>
      <c r="C720" t="str">
        <f>""</f>
        <v/>
      </c>
      <c r="D720" t="str">
        <f>""</f>
        <v/>
      </c>
      <c r="E720" t="str">
        <f>""</f>
        <v/>
      </c>
      <c r="F720" s="2">
        <v>1320255307.71</v>
      </c>
    </row>
    <row r="721" spans="1:6" x14ac:dyDescent="0.25">
      <c r="A721">
        <v>5786</v>
      </c>
      <c r="B72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721" t="str">
        <f>""</f>
        <v/>
      </c>
      <c r="D721" t="str">
        <f>""</f>
        <v/>
      </c>
      <c r="E721" t="str">
        <f>""</f>
        <v/>
      </c>
      <c r="F721" s="2">
        <v>1928677.67</v>
      </c>
    </row>
    <row r="722" spans="1:6" x14ac:dyDescent="0.25">
      <c r="A722">
        <v>5787</v>
      </c>
      <c r="B722" t="str">
        <f>"Расходы по амортизации транспортных средств"</f>
        <v>Расходы по амортизации транспортных средств</v>
      </c>
      <c r="C722" t="str">
        <f>""</f>
        <v/>
      </c>
      <c r="D722" t="str">
        <f>""</f>
        <v/>
      </c>
      <c r="E722" t="str">
        <f>""</f>
        <v/>
      </c>
      <c r="F722" s="2">
        <v>18056676.460000001</v>
      </c>
    </row>
    <row r="723" spans="1:6" x14ac:dyDescent="0.25">
      <c r="A723">
        <v>5788</v>
      </c>
      <c r="B723" t="str">
        <f>"Расходы по амортизации нематериальных активов"</f>
        <v>Расходы по амортизации нематериальных активов</v>
      </c>
      <c r="C723" t="str">
        <f>""</f>
        <v/>
      </c>
      <c r="D723" t="str">
        <f>""</f>
        <v/>
      </c>
      <c r="E723" t="str">
        <f>""</f>
        <v/>
      </c>
      <c r="F723" s="2">
        <v>1437741918.1900001</v>
      </c>
    </row>
    <row r="724" spans="1:6" x14ac:dyDescent="0.25">
      <c r="A724">
        <v>5854</v>
      </c>
      <c r="B724" t="str">
        <f>"Расходы от реализации запасов"</f>
        <v>Расходы от реализации запасов</v>
      </c>
      <c r="C724" t="str">
        <f>""</f>
        <v/>
      </c>
      <c r="D724" t="str">
        <f>""</f>
        <v/>
      </c>
      <c r="E724" t="str">
        <f>""</f>
        <v/>
      </c>
      <c r="F724" s="2">
        <v>8806222.0399999991</v>
      </c>
    </row>
    <row r="725" spans="1:6" x14ac:dyDescent="0.25">
      <c r="A725">
        <v>5892</v>
      </c>
      <c r="B725" t="str">
        <f>"Расходы по операциям форвард"</f>
        <v>Расходы по операциям форвард</v>
      </c>
      <c r="C725" t="str">
        <f>""</f>
        <v/>
      </c>
      <c r="D725" t="str">
        <f>""</f>
        <v/>
      </c>
      <c r="E725" t="str">
        <f>""</f>
        <v/>
      </c>
      <c r="F725" s="2">
        <v>45700235.75</v>
      </c>
    </row>
    <row r="726" spans="1:6" x14ac:dyDescent="0.25">
      <c r="A726">
        <v>5895</v>
      </c>
      <c r="B726" t="str">
        <f>"Расходы по операциям своп"</f>
        <v>Расходы по операциям своп</v>
      </c>
      <c r="C726" t="str">
        <f>""</f>
        <v/>
      </c>
      <c r="D726" t="str">
        <f>""</f>
        <v/>
      </c>
      <c r="E726" t="str">
        <f>""</f>
        <v/>
      </c>
      <c r="F726" s="2">
        <v>2486973699.9000001</v>
      </c>
    </row>
    <row r="727" spans="1:6" x14ac:dyDescent="0.25">
      <c r="A727">
        <v>5900</v>
      </c>
      <c r="B727" t="str">
        <f>"Неустойка (штраф, пеня)"</f>
        <v>Неустойка (штраф, пеня)</v>
      </c>
      <c r="C727" t="str">
        <f>""</f>
        <v/>
      </c>
      <c r="D727" t="str">
        <f>""</f>
        <v/>
      </c>
      <c r="E727" t="str">
        <f>""</f>
        <v/>
      </c>
      <c r="F727" s="2">
        <v>17931889.07</v>
      </c>
    </row>
    <row r="728" spans="1:6" x14ac:dyDescent="0.25">
      <c r="A728">
        <v>5921</v>
      </c>
      <c r="B728" t="str">
        <f>"Прочие расходы от банковской деятельности"</f>
        <v>Прочие расходы от банковской деятельности</v>
      </c>
      <c r="C728" t="str">
        <f>""</f>
        <v/>
      </c>
      <c r="D728" t="str">
        <f>""</f>
        <v/>
      </c>
      <c r="E728" t="str">
        <f>""</f>
        <v/>
      </c>
      <c r="F728" s="2">
        <v>4952328268.7799997</v>
      </c>
    </row>
    <row r="729" spans="1:6" x14ac:dyDescent="0.25">
      <c r="A729">
        <v>5922</v>
      </c>
      <c r="B729" t="str">
        <f>"Прочие расходы от неосновной деятельности"</f>
        <v>Прочие расходы от неосновной деятельности</v>
      </c>
      <c r="C729" t="str">
        <f>""</f>
        <v/>
      </c>
      <c r="D729" t="str">
        <f>""</f>
        <v/>
      </c>
      <c r="E729" t="str">
        <f>""</f>
        <v/>
      </c>
      <c r="F729" s="2">
        <v>20270507.109999999</v>
      </c>
    </row>
    <row r="730" spans="1:6" x14ac:dyDescent="0.25">
      <c r="A730">
        <v>5923</v>
      </c>
      <c r="B730" t="str">
        <f>"Расходы по аренде"</f>
        <v>Расходы по аренде</v>
      </c>
      <c r="C730" t="str">
        <f>""</f>
        <v/>
      </c>
      <c r="D730" t="str">
        <f>""</f>
        <v/>
      </c>
      <c r="E730" t="str">
        <f>""</f>
        <v/>
      </c>
      <c r="F730" s="2">
        <v>299238186.55000001</v>
      </c>
    </row>
    <row r="731" spans="1:6" x14ac:dyDescent="0.25">
      <c r="A731">
        <v>5999</v>
      </c>
      <c r="B731" t="str">
        <f>"Корпоративный подоходный налог"</f>
        <v>Корпоративный подоходный налог</v>
      </c>
      <c r="C731" t="str">
        <f>""</f>
        <v/>
      </c>
      <c r="D731" t="str">
        <f>""</f>
        <v/>
      </c>
      <c r="E731" t="str">
        <f>""</f>
        <v/>
      </c>
      <c r="F731" s="2">
        <v>5650000000</v>
      </c>
    </row>
    <row r="732" spans="1:6" x14ac:dyDescent="0.25">
      <c r="A732">
        <v>6005</v>
      </c>
      <c r="B73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C732" t="str">
        <f>""</f>
        <v/>
      </c>
      <c r="D732" t="str">
        <f>""</f>
        <v/>
      </c>
      <c r="E732" t="str">
        <f>""</f>
        <v/>
      </c>
      <c r="F732" s="2">
        <v>2599666581.1999998</v>
      </c>
    </row>
    <row r="733" spans="1:6" x14ac:dyDescent="0.25">
      <c r="A733">
        <v>6020</v>
      </c>
      <c r="B733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C733" t="str">
        <f>""</f>
        <v/>
      </c>
      <c r="D733" t="str">
        <f>""</f>
        <v/>
      </c>
      <c r="E733" t="str">
        <f>""</f>
        <v/>
      </c>
      <c r="F733" s="2">
        <v>71724474.900000006</v>
      </c>
    </row>
    <row r="734" spans="1:6" x14ac:dyDescent="0.25">
      <c r="A734">
        <v>6055</v>
      </c>
      <c r="B734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734" t="str">
        <f>""</f>
        <v/>
      </c>
      <c r="D734" t="str">
        <f>""</f>
        <v/>
      </c>
      <c r="E734" t="str">
        <f>""</f>
        <v/>
      </c>
      <c r="F734" s="2">
        <v>24454055503.939999</v>
      </c>
    </row>
    <row r="735" spans="1:6" x14ac:dyDescent="0.25">
      <c r="A735">
        <v>6075</v>
      </c>
      <c r="B735" t="str">
        <f>"Возможные требования по принятым гарантиям"</f>
        <v>Возможные требования по принятым гарантиям</v>
      </c>
      <c r="C735" t="str">
        <f>""</f>
        <v/>
      </c>
      <c r="D735" t="str">
        <f>""</f>
        <v/>
      </c>
      <c r="E735" t="str">
        <f>""</f>
        <v/>
      </c>
      <c r="F735" s="2">
        <v>1270408486542.72</v>
      </c>
    </row>
    <row r="736" spans="1:6" x14ac:dyDescent="0.25">
      <c r="A736">
        <v>6125</v>
      </c>
      <c r="B736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C736" t="str">
        <f>""</f>
        <v/>
      </c>
      <c r="D736" t="str">
        <f>""</f>
        <v/>
      </c>
      <c r="E736" t="str">
        <f>""</f>
        <v/>
      </c>
      <c r="F736" s="2">
        <v>153010312.13999999</v>
      </c>
    </row>
    <row r="737" spans="1:6" x14ac:dyDescent="0.25">
      <c r="A737">
        <v>6126</v>
      </c>
      <c r="B737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737" t="str">
        <f>""</f>
        <v/>
      </c>
      <c r="D737" t="str">
        <f>""</f>
        <v/>
      </c>
      <c r="E737" t="str">
        <f>""</f>
        <v/>
      </c>
      <c r="F737" s="2">
        <v>95505018256.639999</v>
      </c>
    </row>
    <row r="738" spans="1:6" x14ac:dyDescent="0.25">
      <c r="A738">
        <v>6130</v>
      </c>
      <c r="B738" t="str">
        <f>"Неподвижные вклады клиентов"</f>
        <v>Неподвижные вклады клиентов</v>
      </c>
      <c r="C738" t="str">
        <f>""</f>
        <v/>
      </c>
      <c r="D738" t="str">
        <f>""</f>
        <v/>
      </c>
      <c r="E738" t="str">
        <f>""</f>
        <v/>
      </c>
      <c r="F738" s="2">
        <v>40444475.350000001</v>
      </c>
    </row>
    <row r="739" spans="1:6" x14ac:dyDescent="0.25">
      <c r="A739">
        <v>6155</v>
      </c>
      <c r="B739" t="str">
        <f>"Условные требования по получению вкладов в будущем"</f>
        <v>Условные требования по получению вкладов в будущем</v>
      </c>
      <c r="C739" t="str">
        <f>""</f>
        <v/>
      </c>
      <c r="D739" t="str">
        <f>""</f>
        <v/>
      </c>
      <c r="E739" t="str">
        <f>""</f>
        <v/>
      </c>
      <c r="F739" s="2">
        <v>7811927188.0500002</v>
      </c>
    </row>
    <row r="740" spans="1:6" x14ac:dyDescent="0.25">
      <c r="A740">
        <v>6175</v>
      </c>
      <c r="B740" t="str">
        <f>"Условные требования по получению займов в будущем"</f>
        <v>Условные требования по получению займов в будущем</v>
      </c>
      <c r="C740" t="str">
        <f>""</f>
        <v/>
      </c>
      <c r="D740" t="str">
        <f>""</f>
        <v/>
      </c>
      <c r="E740" t="str">
        <f>""</f>
        <v/>
      </c>
      <c r="F740" s="2">
        <v>68209995</v>
      </c>
    </row>
    <row r="741" spans="1:6" x14ac:dyDescent="0.25">
      <c r="A741">
        <v>6177</v>
      </c>
      <c r="B741" t="str">
        <f>"Условные требования по предоставленным займам"</f>
        <v>Условные требования по предоставленным займам</v>
      </c>
      <c r="C741" t="str">
        <f>""</f>
        <v/>
      </c>
      <c r="D741" t="str">
        <f>""</f>
        <v/>
      </c>
      <c r="E741" t="str">
        <f>""</f>
        <v/>
      </c>
      <c r="F741" s="2">
        <v>9500989.2300000004</v>
      </c>
    </row>
    <row r="742" spans="1:6" x14ac:dyDescent="0.25">
      <c r="A742">
        <v>6405</v>
      </c>
      <c r="B742" t="str">
        <f>"Условные требования по купле-продаже иностранной валюты"</f>
        <v>Условные требования по купле-продаже иностранной валюты</v>
      </c>
      <c r="C742" t="str">
        <f>""</f>
        <v/>
      </c>
      <c r="D742" t="str">
        <f>""</f>
        <v/>
      </c>
      <c r="E742" t="str">
        <f>""</f>
        <v/>
      </c>
      <c r="F742" s="2">
        <v>14329852030</v>
      </c>
    </row>
    <row r="743" spans="1:6" x14ac:dyDescent="0.25">
      <c r="A743">
        <v>6505</v>
      </c>
      <c r="B743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C743" t="str">
        <f>""</f>
        <v/>
      </c>
      <c r="D743" t="str">
        <f>""</f>
        <v/>
      </c>
      <c r="E743" t="str">
        <f>""</f>
        <v/>
      </c>
      <c r="F743" s="2">
        <v>2599666581.1999998</v>
      </c>
    </row>
    <row r="744" spans="1:6" x14ac:dyDescent="0.25">
      <c r="A744">
        <v>6520</v>
      </c>
      <c r="B744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C744" t="str">
        <f>""</f>
        <v/>
      </c>
      <c r="D744" t="str">
        <f>""</f>
        <v/>
      </c>
      <c r="E744" t="str">
        <f>""</f>
        <v/>
      </c>
      <c r="F744" s="2">
        <v>71724474.900000006</v>
      </c>
    </row>
    <row r="745" spans="1:6" x14ac:dyDescent="0.25">
      <c r="A745">
        <v>6555</v>
      </c>
      <c r="B745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745" t="str">
        <f>""</f>
        <v/>
      </c>
      <c r="D745" t="str">
        <f>""</f>
        <v/>
      </c>
      <c r="E745" t="str">
        <f>""</f>
        <v/>
      </c>
      <c r="F745" s="2">
        <v>24454055503.939999</v>
      </c>
    </row>
    <row r="746" spans="1:6" x14ac:dyDescent="0.25">
      <c r="A746">
        <v>6575</v>
      </c>
      <c r="B746" t="str">
        <f>"Возможное уменьшение требований по принятым гарантиям"</f>
        <v>Возможное уменьшение требований по принятым гарантиям</v>
      </c>
      <c r="C746" t="str">
        <f>""</f>
        <v/>
      </c>
      <c r="D746" t="str">
        <f>""</f>
        <v/>
      </c>
      <c r="E746" t="str">
        <f>""</f>
        <v/>
      </c>
      <c r="F746" s="2">
        <v>1270408486542.72</v>
      </c>
    </row>
    <row r="747" spans="1:6" x14ac:dyDescent="0.25">
      <c r="A747">
        <v>6625</v>
      </c>
      <c r="B747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C747" t="str">
        <f>""</f>
        <v/>
      </c>
      <c r="D747" t="str">
        <f>""</f>
        <v/>
      </c>
      <c r="E747" t="str">
        <f>""</f>
        <v/>
      </c>
      <c r="F747" s="2">
        <v>153010312.13999999</v>
      </c>
    </row>
    <row r="748" spans="1:6" x14ac:dyDescent="0.25">
      <c r="A748">
        <v>6626</v>
      </c>
      <c r="B748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748" t="str">
        <f>""</f>
        <v/>
      </c>
      <c r="D748" t="str">
        <f>""</f>
        <v/>
      </c>
      <c r="E748" t="str">
        <f>""</f>
        <v/>
      </c>
      <c r="F748" s="2">
        <v>95505018256.639999</v>
      </c>
    </row>
    <row r="749" spans="1:6" x14ac:dyDescent="0.25">
      <c r="A749">
        <v>6630</v>
      </c>
      <c r="B749" t="str">
        <f>"Обязательства по неподвижным вкладам клиентов"</f>
        <v>Обязательства по неподвижным вкладам клиентов</v>
      </c>
      <c r="C749" t="str">
        <f>""</f>
        <v/>
      </c>
      <c r="D749" t="str">
        <f>""</f>
        <v/>
      </c>
      <c r="E749" t="str">
        <f>""</f>
        <v/>
      </c>
      <c r="F749" s="2">
        <v>40444475.350000001</v>
      </c>
    </row>
    <row r="750" spans="1:6" x14ac:dyDescent="0.25">
      <c r="A750">
        <v>6655</v>
      </c>
      <c r="B750" t="str">
        <f>"Будущие обязательства по получаемым вкладам"</f>
        <v>Будущие обязательства по получаемым вкладам</v>
      </c>
      <c r="C750" t="str">
        <f>""</f>
        <v/>
      </c>
      <c r="D750" t="str">
        <f>""</f>
        <v/>
      </c>
      <c r="E750" t="str">
        <f>""</f>
        <v/>
      </c>
      <c r="F750" s="2">
        <v>7811927188.0500002</v>
      </c>
    </row>
    <row r="751" spans="1:6" x14ac:dyDescent="0.25">
      <c r="A751">
        <v>6675</v>
      </c>
      <c r="B751" t="str">
        <f>"Будущие обязательства по получаемым займам"</f>
        <v>Будущие обязательства по получаемым займам</v>
      </c>
      <c r="C751" t="str">
        <f>""</f>
        <v/>
      </c>
      <c r="D751" t="str">
        <f>""</f>
        <v/>
      </c>
      <c r="E751" t="str">
        <f>""</f>
        <v/>
      </c>
      <c r="F751" s="2">
        <v>68209995</v>
      </c>
    </row>
    <row r="752" spans="1:6" x14ac:dyDescent="0.25">
      <c r="A752">
        <v>6677</v>
      </c>
      <c r="B752" t="str">
        <f>"Условные обязательства по предоставленным займам"</f>
        <v>Условные обязательства по предоставленным займам</v>
      </c>
      <c r="C752" t="str">
        <f>""</f>
        <v/>
      </c>
      <c r="D752" t="str">
        <f>""</f>
        <v/>
      </c>
      <c r="E752" t="str">
        <f>""</f>
        <v/>
      </c>
      <c r="F752" s="2">
        <v>9500989.2300000004</v>
      </c>
    </row>
    <row r="753" spans="1:6" x14ac:dyDescent="0.25">
      <c r="A753">
        <v>6905</v>
      </c>
      <c r="B753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753" t="str">
        <f>""</f>
        <v/>
      </c>
      <c r="D753" t="str">
        <f>""</f>
        <v/>
      </c>
      <c r="E753" t="str">
        <f>""</f>
        <v/>
      </c>
      <c r="F753" s="2">
        <v>14312983000</v>
      </c>
    </row>
    <row r="754" spans="1:6" x14ac:dyDescent="0.25">
      <c r="A754">
        <v>6999</v>
      </c>
      <c r="B754" t="str">
        <f>"Позиция по сделкам с иностранной валютой"</f>
        <v>Позиция по сделкам с иностранной валютой</v>
      </c>
      <c r="C754" t="str">
        <f>""</f>
        <v/>
      </c>
      <c r="D754" t="str">
        <f>""</f>
        <v/>
      </c>
      <c r="E754" t="str">
        <f>""</f>
        <v/>
      </c>
      <c r="F754" s="2">
        <v>16869030</v>
      </c>
    </row>
    <row r="755" spans="1:6" x14ac:dyDescent="0.25">
      <c r="A755">
        <v>7150</v>
      </c>
      <c r="B755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C755" t="str">
        <f>""</f>
        <v/>
      </c>
      <c r="D755" t="str">
        <f>""</f>
        <v/>
      </c>
      <c r="E755" t="str">
        <f>""</f>
        <v/>
      </c>
      <c r="F755" s="2">
        <v>1215334.27</v>
      </c>
    </row>
    <row r="756" spans="1:6" x14ac:dyDescent="0.25">
      <c r="A756">
        <v>7220</v>
      </c>
      <c r="B756" t="str">
        <f>"Арендованные активы"</f>
        <v>Арендованные активы</v>
      </c>
      <c r="C756" t="str">
        <f>""</f>
        <v/>
      </c>
      <c r="D756" t="str">
        <f>""</f>
        <v/>
      </c>
      <c r="E756" t="str">
        <f>""</f>
        <v/>
      </c>
      <c r="F756" s="2">
        <v>144832184.66999999</v>
      </c>
    </row>
    <row r="757" spans="1:6" x14ac:dyDescent="0.25">
      <c r="A757">
        <v>7240</v>
      </c>
      <c r="B757" t="str">
        <f>"Документы и ценности, принятые на инкассо"</f>
        <v>Документы и ценности, принятые на инкассо</v>
      </c>
      <c r="C757" t="str">
        <f>""</f>
        <v/>
      </c>
      <c r="D757" t="str">
        <f>""</f>
        <v/>
      </c>
      <c r="E757" t="str">
        <f>""</f>
        <v/>
      </c>
      <c r="F757" s="2">
        <v>38649312</v>
      </c>
    </row>
    <row r="758" spans="1:6" x14ac:dyDescent="0.25">
      <c r="A758">
        <v>7250</v>
      </c>
      <c r="B75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758" t="str">
        <f>""</f>
        <v/>
      </c>
      <c r="D758" t="str">
        <f>""</f>
        <v/>
      </c>
      <c r="E758" t="str">
        <f>""</f>
        <v/>
      </c>
      <c r="F758" s="2">
        <v>649942204077.89001</v>
      </c>
    </row>
    <row r="759" spans="1:6" x14ac:dyDescent="0.25">
      <c r="A759">
        <v>7303</v>
      </c>
      <c r="B759" t="str">
        <f>"Платежные документы, не оплаченные в срок"</f>
        <v>Платежные документы, не оплаченные в срок</v>
      </c>
      <c r="C759" t="str">
        <f>""</f>
        <v/>
      </c>
      <c r="D759" t="str">
        <f>""</f>
        <v/>
      </c>
      <c r="E759" t="str">
        <f>""</f>
        <v/>
      </c>
      <c r="F759" s="2">
        <v>686159918590.55005</v>
      </c>
    </row>
    <row r="760" spans="1:6" x14ac:dyDescent="0.25">
      <c r="A760">
        <v>7339</v>
      </c>
      <c r="B760" t="str">
        <f>"Разные ценности и документы"</f>
        <v>Разные ценности и документы</v>
      </c>
      <c r="C760" t="str">
        <f>""</f>
        <v/>
      </c>
      <c r="D760" t="str">
        <f>""</f>
        <v/>
      </c>
      <c r="E760" t="str">
        <f>""</f>
        <v/>
      </c>
      <c r="F760" s="2">
        <v>132895</v>
      </c>
    </row>
    <row r="761" spans="1:6" x14ac:dyDescent="0.25">
      <c r="A761">
        <v>7342</v>
      </c>
      <c r="B76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761" t="str">
        <f>""</f>
        <v/>
      </c>
      <c r="D761" t="str">
        <f>""</f>
        <v/>
      </c>
      <c r="E761" t="str">
        <f>""</f>
        <v/>
      </c>
      <c r="F761" s="2">
        <v>1830274</v>
      </c>
    </row>
    <row r="762" spans="1:6" x14ac:dyDescent="0.25">
      <c r="A762">
        <v>7363</v>
      </c>
      <c r="B762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C762" t="str">
        <f>""</f>
        <v/>
      </c>
      <c r="D762" t="str">
        <f>""</f>
        <v/>
      </c>
      <c r="E762" t="str">
        <f>""</f>
        <v/>
      </c>
      <c r="F762" s="2">
        <v>17547021134.57</v>
      </c>
    </row>
    <row r="763" spans="1:6" x14ac:dyDescent="0.25">
      <c r="A763">
        <v>7535</v>
      </c>
      <c r="B763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C763" t="str">
        <f>""</f>
        <v/>
      </c>
      <c r="D763" t="str">
        <f>""</f>
        <v/>
      </c>
      <c r="E763" t="str">
        <f>""</f>
        <v/>
      </c>
      <c r="F763" s="2">
        <v>3788537911.9400001</v>
      </c>
    </row>
    <row r="764" spans="1:6" x14ac:dyDescent="0.25">
      <c r="A764">
        <v>7536</v>
      </c>
      <c r="B764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C764" t="str">
        <f>""</f>
        <v/>
      </c>
      <c r="D764" t="str">
        <f>""</f>
        <v/>
      </c>
      <c r="E764" t="str">
        <f>""</f>
        <v/>
      </c>
      <c r="F764" s="2">
        <v>793003.65</v>
      </c>
    </row>
    <row r="765" spans="1:6" x14ac:dyDescent="0.25">
      <c r="A765">
        <v>7542</v>
      </c>
      <c r="B765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C765" t="str">
        <f>""</f>
        <v/>
      </c>
      <c r="D765" t="str">
        <f>""</f>
        <v/>
      </c>
      <c r="E765" t="str">
        <f>""</f>
        <v/>
      </c>
      <c r="F765" s="2">
        <v>20588301.059999999</v>
      </c>
    </row>
    <row r="766" spans="1:6" x14ac:dyDescent="0.25">
      <c r="A766">
        <v>7543</v>
      </c>
      <c r="B766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C766" t="str">
        <f>""</f>
        <v/>
      </c>
      <c r="D766" t="str">
        <f>""</f>
        <v/>
      </c>
      <c r="E766" t="str">
        <f>""</f>
        <v/>
      </c>
      <c r="F766" s="2">
        <v>7923.28</v>
      </c>
    </row>
    <row r="767" spans="1:6" x14ac:dyDescent="0.25">
      <c r="A767">
        <v>7544</v>
      </c>
      <c r="B767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C767" t="str">
        <f>""</f>
        <v/>
      </c>
      <c r="D767" t="str">
        <f>""</f>
        <v/>
      </c>
      <c r="E767" t="str">
        <f>""</f>
        <v/>
      </c>
      <c r="F767" s="2">
        <v>1752912.19</v>
      </c>
    </row>
    <row r="768" spans="1:6" x14ac:dyDescent="0.25">
      <c r="A768">
        <v>7701</v>
      </c>
      <c r="B768" t="str">
        <f>"Ценные бумаги"</f>
        <v>Ценные бумаги</v>
      </c>
      <c r="C768" t="str">
        <f>""</f>
        <v/>
      </c>
      <c r="D768" t="str">
        <f>""</f>
        <v/>
      </c>
      <c r="E768" t="str">
        <f>""</f>
        <v/>
      </c>
      <c r="F768" s="2">
        <v>4731869568.1999998</v>
      </c>
    </row>
    <row r="769" spans="1:6" x14ac:dyDescent="0.25">
      <c r="A769">
        <v>7704</v>
      </c>
      <c r="B769" t="str">
        <f>"Операции «обратное РЕПО»"</f>
        <v>Операции «обратное РЕПО»</v>
      </c>
      <c r="C769" t="str">
        <f>""</f>
        <v/>
      </c>
      <c r="D769" t="str">
        <f>""</f>
        <v/>
      </c>
      <c r="E769" t="str">
        <f>""</f>
        <v/>
      </c>
      <c r="F769" s="2">
        <v>32012512.690000001</v>
      </c>
    </row>
    <row r="770" spans="1:6" x14ac:dyDescent="0.25">
      <c r="A770">
        <v>7707</v>
      </c>
      <c r="B770" t="str">
        <f>"Инвестиции в капитал"</f>
        <v>Инвестиции в капитал</v>
      </c>
      <c r="C770" t="str">
        <f>""</f>
        <v/>
      </c>
      <c r="D770" t="str">
        <f>""</f>
        <v/>
      </c>
      <c r="E770" t="str">
        <f>""</f>
        <v/>
      </c>
      <c r="F770" s="2">
        <v>4786510776.8100004</v>
      </c>
    </row>
    <row r="771" spans="1:6" x14ac:dyDescent="0.25">
      <c r="A771">
        <v>7708</v>
      </c>
      <c r="B77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C771" t="str">
        <f>""</f>
        <v/>
      </c>
      <c r="D771" t="str">
        <f>""</f>
        <v/>
      </c>
      <c r="E771" t="str">
        <f>""</f>
        <v/>
      </c>
      <c r="F771" s="2">
        <v>24317502000</v>
      </c>
    </row>
    <row r="772" spans="1:6" x14ac:dyDescent="0.25">
      <c r="A772">
        <v>7711</v>
      </c>
      <c r="B772" t="str">
        <f>"Вознаграждение"</f>
        <v>Вознаграждение</v>
      </c>
      <c r="C772" t="str">
        <f>""</f>
        <v/>
      </c>
      <c r="D772" t="str">
        <f>""</f>
        <v/>
      </c>
      <c r="E772" t="str">
        <f>""</f>
        <v/>
      </c>
      <c r="F772" s="2">
        <v>4509868.47</v>
      </c>
    </row>
    <row r="773" spans="1:6" x14ac:dyDescent="0.25">
      <c r="A773">
        <v>7713</v>
      </c>
      <c r="B773" t="str">
        <f>"Прочие требования"</f>
        <v>Прочие требования</v>
      </c>
      <c r="C773" t="str">
        <f>""</f>
        <v/>
      </c>
      <c r="D773" t="str">
        <f>""</f>
        <v/>
      </c>
      <c r="E773" t="str">
        <f>""</f>
        <v/>
      </c>
      <c r="F773" s="2">
        <v>4943003468.4499998</v>
      </c>
    </row>
    <row r="785" spans="10:10" x14ac:dyDescent="0.25">
      <c r="J785" s="1"/>
    </row>
    <row r="786" spans="10:10" x14ac:dyDescent="0.25">
      <c r="J786" s="1"/>
    </row>
    <row r="787" spans="10:10" x14ac:dyDescent="0.25">
      <c r="J787" s="1"/>
    </row>
    <row r="788" spans="10:10" x14ac:dyDescent="0.25">
      <c r="J788" s="1"/>
    </row>
    <row r="789" spans="10:10" x14ac:dyDescent="0.25">
      <c r="J789" s="1"/>
    </row>
  </sheetData>
  <autoFilter ref="A1:F84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700_ND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Жұманова Арайлым Бауыржанқызы</dc:creator>
  <cp:lastModifiedBy>Ахметжанов Валихан Динмухамедович</cp:lastModifiedBy>
  <dcterms:created xsi:type="dcterms:W3CDTF">2021-07-26T05:34:31Z</dcterms:created>
  <dcterms:modified xsi:type="dcterms:W3CDTF">2022-01-31T05:31:33Z</dcterms:modified>
</cp:coreProperties>
</file>