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la11202\FCD\REGULATORY REPORTING\Regulatory reports\Reporting\monthly\KASE\2023\12 Dec\"/>
    </mc:Choice>
  </mc:AlternateContent>
  <bookViews>
    <workbookView xWindow="0" yWindow="0" windowWidth="25200" windowHeight="109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2" i="1" l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H367" i="1"/>
  <c r="F367" i="1"/>
  <c r="E367" i="1"/>
  <c r="D367" i="1"/>
  <c r="H366" i="1"/>
  <c r="F366" i="1"/>
  <c r="E366" i="1"/>
  <c r="D366" i="1"/>
  <c r="H365" i="1"/>
  <c r="F365" i="1"/>
  <c r="E365" i="1"/>
  <c r="D365" i="1"/>
  <c r="E364" i="1"/>
  <c r="D364" i="1"/>
  <c r="E363" i="1"/>
  <c r="D363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E327" i="1"/>
  <c r="D327" i="1"/>
  <c r="H326" i="1"/>
  <c r="G326" i="1"/>
  <c r="F326" i="1"/>
  <c r="E326" i="1"/>
  <c r="D326" i="1"/>
  <c r="H325" i="1"/>
  <c r="F325" i="1"/>
  <c r="E325" i="1"/>
  <c r="D325" i="1"/>
  <c r="H324" i="1"/>
  <c r="F324" i="1"/>
  <c r="E324" i="1"/>
  <c r="D324" i="1"/>
  <c r="H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E155" i="1"/>
  <c r="D155" i="1"/>
  <c r="H154" i="1"/>
  <c r="G154" i="1"/>
  <c r="F154" i="1"/>
  <c r="E154" i="1"/>
  <c r="D154" i="1"/>
  <c r="H153" i="1"/>
  <c r="F153" i="1"/>
  <c r="E153" i="1"/>
  <c r="D153" i="1"/>
  <c r="H152" i="1"/>
  <c r="F152" i="1"/>
  <c r="E152" i="1"/>
  <c r="D152" i="1"/>
  <c r="H151" i="1"/>
  <c r="F151" i="1"/>
  <c r="E151" i="1"/>
  <c r="D151" i="1"/>
  <c r="H150" i="1"/>
  <c r="F150" i="1"/>
  <c r="E150" i="1"/>
  <c r="D150" i="1"/>
  <c r="H149" i="1"/>
  <c r="F149" i="1"/>
  <c r="E149" i="1"/>
  <c r="D149" i="1"/>
  <c r="H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<sst xmlns="http://schemas.openxmlformats.org/spreadsheetml/2006/main" count="24" uniqueCount="24">
  <si>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</si>
  <si>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</si>
  <si>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</si>
  <si>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</si>
  <si>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</si>
  <si>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</si>
  <si>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</si>
  <si>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</si>
  <si>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</si>
  <si>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</si>
  <si>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Расходы по операциям "РЕПО" с ценными бумагами</t>
  </si>
  <si>
    <t>Наименование</t>
  </si>
  <si>
    <t>Первый руководитель или лицо, уполномоченное им на подписание отчета:</t>
  </si>
  <si>
    <t>Заместитель Председателя Правления     ____________________    Цзя Ф.</t>
  </si>
  <si>
    <t>Главный бухгалтер или лицо, уполномоченное на подписание отчета:</t>
  </si>
  <si>
    <t>Главный бухгалтер    ____________________    Каржаубеков А.Ж.</t>
  </si>
  <si>
    <t>Исполнитель:</t>
  </si>
  <si>
    <t>Менеджер    ____________________    Хайролда Ж.</t>
  </si>
  <si>
    <t>Дата подписания: 03 Января 2024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</si>
  <si>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</si>
  <si>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и внебалансовых счетах банков второго уровня</t>
  </si>
  <si>
    <t>АО 'Altyn Bank' (ДБ China Citic Bank Corporation Ltd)</t>
  </si>
  <si>
    <t>тенге</t>
  </si>
  <si>
    <t>за 29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</si>
</sst>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4"/>
  <sheetViews>
    <sheetView tabSelected="1" workbookViewId="0">
      <selection activeCell="A3" sqref="A3:I3"/>
    </sheetView>
  </sheetViews>
  <sheetFormatPr defaultRowHeight="15" x14ac:dyDescent="0.25"/>
  <cols>
    <col min="1" max="3" width="16.140625" style="3" customWidth="1"/>
    <col min="4" max="4" width="16.140625" style="5" customWidth="1"/>
    <col min="5" max="5" width="16.140625" style="6" customWidth="1"/>
    <col min="6" max="8" width="16.140625" style="3" customWidth="1"/>
    <col min="9" max="9" width="17" style="7" bestFit="1" customWidth="1"/>
  </cols>
  <sheetData>
    <row r="1" spans="1:9" x14ac:dyDescent="0.25">
      <c r="A1"/>
      <c r="B1"/>
      <c r="C1"/>
      <c r="D1"/>
      <c r="E1"/>
      <c r="F1" s="8" t="s">
        <v>19</v>
      </c>
      <c r="G1" s="8"/>
      <c r="H1" s="8"/>
      <c r="I1" s="8"/>
    </row>
    <row r="2" spans="1:9" x14ac:dyDescent="0.25">
      <c r="A2" s="9" t="s">
        <v>20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21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 t="s">
        <v>23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/>
      <c r="B5"/>
      <c r="C5"/>
      <c r="D5"/>
      <c r="E5"/>
      <c r="F5"/>
      <c r="G5"/>
      <c r="H5"/>
      <c r="I5" s="10"/>
    </row>
    <row r="6" spans="1:9" ht="15.75" thickBot="1" x14ac:dyDescent="0.3">
      <c r="A6"/>
      <c r="B6"/>
      <c r="C6"/>
      <c r="D6"/>
      <c r="E6"/>
      <c r="F6"/>
      <c r="G6"/>
      <c r="H6"/>
      <c r="I6" s="11" t="s">
        <v>22</v>
      </c>
    </row>
    <row r="7" spans="1:9" ht="30.75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2" t="s">
        <v>8</v>
      </c>
    </row>
    <row r="8" spans="1:9" x14ac:dyDescent="0.25">
      <c r="A8" s="3">
        <v>1</v>
      </c>
      <c r="B8" s="4">
        <v>45289</v>
      </c>
      <c r="C8" s="3">
        <v>15</v>
      </c>
      <c r="D8" s="5" t="str">
        <f>"1001"</f>
        <v>1001</v>
      </c>
      <c r="E8" s="6" t="str">
        <f>"Наличность в кассе"</f>
        <v>Наличность в кассе</v>
      </c>
      <c r="F8" s="3" t="str">
        <f>"1"</f>
        <v>1</v>
      </c>
      <c r="G8" s="3" t="str">
        <f t="shared" ref="G8:G13" si="0">"3"</f>
        <v>3</v>
      </c>
      <c r="H8" s="3" t="str">
        <f>"1"</f>
        <v>1</v>
      </c>
      <c r="I8" s="7">
        <v>519431207</v>
      </c>
    </row>
    <row r="9" spans="1:9" x14ac:dyDescent="0.25">
      <c r="A9" s="3">
        <v>2</v>
      </c>
      <c r="B9" s="4">
        <v>45289</v>
      </c>
      <c r="C9" s="3">
        <v>15</v>
      </c>
      <c r="D9" s="5" t="str">
        <f>"1001"</f>
        <v>1001</v>
      </c>
      <c r="E9" s="6" t="str">
        <f>"Наличность в кассе"</f>
        <v>Наличность в кассе</v>
      </c>
      <c r="F9" s="3" t="str">
        <f>"2"</f>
        <v>2</v>
      </c>
      <c r="G9" s="3" t="str">
        <f t="shared" si="0"/>
        <v>3</v>
      </c>
      <c r="H9" s="3" t="str">
        <f>"2"</f>
        <v>2</v>
      </c>
      <c r="I9" s="7">
        <v>1653144629.0899999</v>
      </c>
    </row>
    <row r="10" spans="1:9" x14ac:dyDescent="0.25">
      <c r="A10" s="3">
        <v>3</v>
      </c>
      <c r="B10" s="4">
        <v>45289</v>
      </c>
      <c r="C10" s="3">
        <v>15</v>
      </c>
      <c r="D10" s="5" t="str">
        <f>"1001"</f>
        <v>1001</v>
      </c>
      <c r="E10" s="6" t="str">
        <f>"Наличность в кассе"</f>
        <v>Наличность в кассе</v>
      </c>
      <c r="F10" s="3" t="str">
        <f>"2"</f>
        <v>2</v>
      </c>
      <c r="G10" s="3" t="str">
        <f t="shared" si="0"/>
        <v>3</v>
      </c>
      <c r="H10" s="3" t="str">
        <f>"3"</f>
        <v>3</v>
      </c>
      <c r="I10" s="7">
        <v>3726943</v>
      </c>
    </row>
    <row r="11" spans="1:9" x14ac:dyDescent="0.25">
      <c r="A11" s="3">
        <v>4</v>
      </c>
      <c r="B11" s="4">
        <v>45289</v>
      </c>
      <c r="C11" s="3">
        <v>15</v>
      </c>
      <c r="D11" s="5" t="str">
        <f>"1051"</f>
        <v>1051</v>
      </c>
      <c r="E11" s="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3" t="str">
        <f>"1"</f>
        <v>1</v>
      </c>
      <c r="G11" s="3" t="str">
        <f t="shared" si="0"/>
        <v>3</v>
      </c>
      <c r="H11" s="3" t="str">
        <f>"2"</f>
        <v>2</v>
      </c>
      <c r="I11" s="7">
        <v>36893252179.029999</v>
      </c>
    </row>
    <row r="12" spans="1:9" x14ac:dyDescent="0.25">
      <c r="A12" s="3">
        <v>5</v>
      </c>
      <c r="B12" s="4">
        <v>45289</v>
      </c>
      <c r="C12" s="3">
        <v>15</v>
      </c>
      <c r="D12" s="5" t="str">
        <f>"1051"</f>
        <v>1051</v>
      </c>
      <c r="E12" s="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s="3" t="str">
        <f>"1"</f>
        <v>1</v>
      </c>
      <c r="G12" s="3" t="str">
        <f t="shared" si="0"/>
        <v>3</v>
      </c>
      <c r="H12" s="3" t="str">
        <f>"3"</f>
        <v>3</v>
      </c>
      <c r="I12" s="7">
        <v>14975760.539999999</v>
      </c>
    </row>
    <row r="13" spans="1:9" x14ac:dyDescent="0.25">
      <c r="A13" s="3">
        <v>6</v>
      </c>
      <c r="B13" s="4">
        <v>45289</v>
      </c>
      <c r="C13" s="3">
        <v>15</v>
      </c>
      <c r="D13" s="5" t="str">
        <f>"1051"</f>
        <v>1051</v>
      </c>
      <c r="E13" s="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s="3" t="str">
        <f>"1"</f>
        <v>1</v>
      </c>
      <c r="G13" s="3" t="str">
        <f t="shared" si="0"/>
        <v>3</v>
      </c>
      <c r="H13" s="3" t="str">
        <f>"1"</f>
        <v>1</v>
      </c>
      <c r="I13" s="7">
        <v>11370537793.040001</v>
      </c>
    </row>
    <row r="14" spans="1:9" x14ac:dyDescent="0.25">
      <c r="A14" s="3">
        <v>7</v>
      </c>
      <c r="B14" s="4">
        <v>45289</v>
      </c>
      <c r="C14" s="3">
        <v>15</v>
      </c>
      <c r="D14" s="5" t="str">
        <f t="shared" ref="D14:D21" si="1">"1052"</f>
        <v>1052</v>
      </c>
      <c r="E14" s="6" t="str">
        <f t="shared" ref="E14:E21" si="2">"Корреспондентские счета в других банках"</f>
        <v>Корреспондентские счета в других банках</v>
      </c>
      <c r="F14" s="3" t="str">
        <f>"1"</f>
        <v>1</v>
      </c>
      <c r="G14" s="3" t="str">
        <f>"4"</f>
        <v>4</v>
      </c>
      <c r="H14" s="3" t="str">
        <f>"2"</f>
        <v>2</v>
      </c>
      <c r="I14" s="7">
        <v>2286689004.3899999</v>
      </c>
    </row>
    <row r="15" spans="1:9" x14ac:dyDescent="0.25">
      <c r="A15" s="3">
        <v>8</v>
      </c>
      <c r="B15" s="4">
        <v>45289</v>
      </c>
      <c r="C15" s="3">
        <v>15</v>
      </c>
      <c r="D15" s="5" t="str">
        <f t="shared" si="1"/>
        <v>1052</v>
      </c>
      <c r="E15" s="6" t="str">
        <f t="shared" si="2"/>
        <v>Корреспондентские счета в других банках</v>
      </c>
      <c r="F15" s="3" t="str">
        <f>"2"</f>
        <v>2</v>
      </c>
      <c r="G15" s="3" t="str">
        <f>"5"</f>
        <v>5</v>
      </c>
      <c r="H15" s="3" t="str">
        <f>"1"</f>
        <v>1</v>
      </c>
      <c r="I15" s="7">
        <v>20834851.940000001</v>
      </c>
    </row>
    <row r="16" spans="1:9" x14ac:dyDescent="0.25">
      <c r="A16" s="3">
        <v>9</v>
      </c>
      <c r="B16" s="4">
        <v>45289</v>
      </c>
      <c r="C16" s="3">
        <v>15</v>
      </c>
      <c r="D16" s="5" t="str">
        <f t="shared" si="1"/>
        <v>1052</v>
      </c>
      <c r="E16" s="6" t="str">
        <f t="shared" si="2"/>
        <v>Корреспондентские счета в других банках</v>
      </c>
      <c r="F16" s="3" t="str">
        <f>"2"</f>
        <v>2</v>
      </c>
      <c r="G16" s="3" t="str">
        <f>"5"</f>
        <v>5</v>
      </c>
      <c r="H16" s="3" t="str">
        <f>"3"</f>
        <v>3</v>
      </c>
      <c r="I16" s="7">
        <v>2347994.79</v>
      </c>
    </row>
    <row r="17" spans="1:9" x14ac:dyDescent="0.25">
      <c r="A17" s="3">
        <v>10</v>
      </c>
      <c r="B17" s="4">
        <v>45289</v>
      </c>
      <c r="C17" s="3">
        <v>15</v>
      </c>
      <c r="D17" s="5" t="str">
        <f t="shared" si="1"/>
        <v>1052</v>
      </c>
      <c r="E17" s="6" t="str">
        <f t="shared" si="2"/>
        <v>Корреспондентские счета в других банках</v>
      </c>
      <c r="F17" s="3" t="str">
        <f>"2"</f>
        <v>2</v>
      </c>
      <c r="G17" s="3" t="str">
        <f>"4"</f>
        <v>4</v>
      </c>
      <c r="H17" s="3" t="str">
        <f>"3"</f>
        <v>3</v>
      </c>
      <c r="I17" s="7">
        <v>2381172505.9400001</v>
      </c>
    </row>
    <row r="18" spans="1:9" x14ac:dyDescent="0.25">
      <c r="A18" s="3">
        <v>11</v>
      </c>
      <c r="B18" s="4">
        <v>45289</v>
      </c>
      <c r="C18" s="3">
        <v>15</v>
      </c>
      <c r="D18" s="5" t="str">
        <f t="shared" si="1"/>
        <v>1052</v>
      </c>
      <c r="E18" s="6" t="str">
        <f t="shared" si="2"/>
        <v>Корреспондентские счета в других банках</v>
      </c>
      <c r="F18" s="3" t="str">
        <f>"1"</f>
        <v>1</v>
      </c>
      <c r="G18" s="3" t="str">
        <f>"4"</f>
        <v>4</v>
      </c>
      <c r="H18" s="3" t="str">
        <f>"3"</f>
        <v>3</v>
      </c>
      <c r="I18" s="7">
        <v>12649171.58</v>
      </c>
    </row>
    <row r="19" spans="1:9" x14ac:dyDescent="0.25">
      <c r="A19" s="3">
        <v>12</v>
      </c>
      <c r="B19" s="4">
        <v>45289</v>
      </c>
      <c r="C19" s="3">
        <v>15</v>
      </c>
      <c r="D19" s="5" t="str">
        <f t="shared" si="1"/>
        <v>1052</v>
      </c>
      <c r="E19" s="6" t="str">
        <f t="shared" si="2"/>
        <v>Корреспондентские счета в других банках</v>
      </c>
      <c r="F19" s="3" t="str">
        <f>"1"</f>
        <v>1</v>
      </c>
      <c r="G19" s="3" t="str">
        <f>"4"</f>
        <v>4</v>
      </c>
      <c r="H19" s="3" t="str">
        <f>"1"</f>
        <v>1</v>
      </c>
      <c r="I19" s="7">
        <v>552305363.15999997</v>
      </c>
    </row>
    <row r="20" spans="1:9" x14ac:dyDescent="0.25">
      <c r="A20" s="3">
        <v>13</v>
      </c>
      <c r="B20" s="4">
        <v>45289</v>
      </c>
      <c r="C20" s="3">
        <v>15</v>
      </c>
      <c r="D20" s="5" t="str">
        <f t="shared" si="1"/>
        <v>1052</v>
      </c>
      <c r="E20" s="6" t="str">
        <f t="shared" si="2"/>
        <v>Корреспондентские счета в других банках</v>
      </c>
      <c r="F20" s="3" t="str">
        <f>"2"</f>
        <v>2</v>
      </c>
      <c r="G20" s="3" t="str">
        <f>"4"</f>
        <v>4</v>
      </c>
      <c r="H20" s="3" t="str">
        <f>"2"</f>
        <v>2</v>
      </c>
      <c r="I20" s="7">
        <v>34788958929.510002</v>
      </c>
    </row>
    <row r="21" spans="1:9" x14ac:dyDescent="0.25">
      <c r="A21" s="3">
        <v>14</v>
      </c>
      <c r="B21" s="4">
        <v>45289</v>
      </c>
      <c r="C21" s="3">
        <v>15</v>
      </c>
      <c r="D21" s="5" t="str">
        <f t="shared" si="1"/>
        <v>1052</v>
      </c>
      <c r="E21" s="6" t="str">
        <f t="shared" si="2"/>
        <v>Корреспондентские счета в других банках</v>
      </c>
      <c r="F21" s="3" t="str">
        <f>"2"</f>
        <v>2</v>
      </c>
      <c r="G21" s="3" t="str">
        <f>"5"</f>
        <v>5</v>
      </c>
      <c r="H21" s="3" t="str">
        <f>"2"</f>
        <v>2</v>
      </c>
      <c r="I21" s="7">
        <v>26454574.93</v>
      </c>
    </row>
    <row r="22" spans="1:9" x14ac:dyDescent="0.25">
      <c r="A22" s="3">
        <v>15</v>
      </c>
      <c r="B22" s="4">
        <v>45289</v>
      </c>
      <c r="C22" s="3">
        <v>15</v>
      </c>
      <c r="D22" s="5" t="str">
        <f t="shared" ref="D22:D29" si="3">"1054"</f>
        <v>1054</v>
      </c>
      <c r="E22" s="6" t="str">
        <f t="shared" ref="E22:E2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s="3" t="str">
        <f>"2"</f>
        <v>2</v>
      </c>
      <c r="G22" s="3" t="str">
        <f>"5"</f>
        <v>5</v>
      </c>
      <c r="H22" s="3" t="str">
        <f>"2"</f>
        <v>2</v>
      </c>
      <c r="I22" s="7">
        <v>-376.55</v>
      </c>
    </row>
    <row r="23" spans="1:9" x14ac:dyDescent="0.25">
      <c r="A23" s="3">
        <v>16</v>
      </c>
      <c r="B23" s="4">
        <v>45289</v>
      </c>
      <c r="C23" s="3">
        <v>15</v>
      </c>
      <c r="D23" s="5" t="str">
        <f t="shared" si="3"/>
        <v>1054</v>
      </c>
      <c r="E23" s="6" t="str">
        <f t="shared" si="4"/>
        <v>Резервы (провизии) по корреспондентским счетам в других банках и текущим счетам ипотечных организаций</v>
      </c>
      <c r="F23" s="3" t="str">
        <f>"1"</f>
        <v>1</v>
      </c>
      <c r="G23" s="3" t="str">
        <f>"4"</f>
        <v>4</v>
      </c>
      <c r="H23" s="3" t="str">
        <f>"2"</f>
        <v>2</v>
      </c>
      <c r="I23" s="7">
        <v>-27824.86</v>
      </c>
    </row>
    <row r="24" spans="1:9" x14ac:dyDescent="0.25">
      <c r="A24" s="3">
        <v>17</v>
      </c>
      <c r="B24" s="4">
        <v>45289</v>
      </c>
      <c r="C24" s="3">
        <v>15</v>
      </c>
      <c r="D24" s="5" t="str">
        <f t="shared" si="3"/>
        <v>1054</v>
      </c>
      <c r="E24" s="6" t="str">
        <f t="shared" si="4"/>
        <v>Резервы (провизии) по корреспондентским счетам в других банках и текущим счетам ипотечных организаций</v>
      </c>
      <c r="F24" s="3" t="str">
        <f>"1"</f>
        <v>1</v>
      </c>
      <c r="G24" s="3" t="str">
        <f>"4"</f>
        <v>4</v>
      </c>
      <c r="H24" s="3" t="str">
        <f>"3"</f>
        <v>3</v>
      </c>
      <c r="I24" s="7">
        <v>-161.26</v>
      </c>
    </row>
    <row r="25" spans="1:9" x14ac:dyDescent="0.25">
      <c r="A25" s="3">
        <v>18</v>
      </c>
      <c r="B25" s="4">
        <v>45289</v>
      </c>
      <c r="C25" s="3">
        <v>15</v>
      </c>
      <c r="D25" s="5" t="str">
        <f t="shared" si="3"/>
        <v>1054</v>
      </c>
      <c r="E25" s="6" t="str">
        <f t="shared" si="4"/>
        <v>Резервы (провизии) по корреспондентским счетам в других банках и текущим счетам ипотечных организаций</v>
      </c>
      <c r="F25" s="3" t="str">
        <f>"2"</f>
        <v>2</v>
      </c>
      <c r="G25" s="3" t="str">
        <f>"4"</f>
        <v>4</v>
      </c>
      <c r="H25" s="3" t="str">
        <f>"2"</f>
        <v>2</v>
      </c>
      <c r="I25" s="7">
        <v>-135274.92000000001</v>
      </c>
    </row>
    <row r="26" spans="1:9" x14ac:dyDescent="0.25">
      <c r="A26" s="3">
        <v>19</v>
      </c>
      <c r="B26" s="4">
        <v>45289</v>
      </c>
      <c r="C26" s="3">
        <v>15</v>
      </c>
      <c r="D26" s="5" t="str">
        <f t="shared" si="3"/>
        <v>1054</v>
      </c>
      <c r="E26" s="6" t="str">
        <f t="shared" si="4"/>
        <v>Резервы (провизии) по корреспондентским счетам в других банках и текущим счетам ипотечных организаций</v>
      </c>
      <c r="F26" s="3" t="str">
        <f>"2"</f>
        <v>2</v>
      </c>
      <c r="G26" s="3" t="str">
        <f>"4"</f>
        <v>4</v>
      </c>
      <c r="H26" s="3" t="str">
        <f>"3"</f>
        <v>3</v>
      </c>
      <c r="I26" s="7">
        <v>-8303.82</v>
      </c>
    </row>
    <row r="27" spans="1:9" x14ac:dyDescent="0.25">
      <c r="A27" s="3">
        <v>20</v>
      </c>
      <c r="B27" s="4">
        <v>45289</v>
      </c>
      <c r="C27" s="3">
        <v>15</v>
      </c>
      <c r="D27" s="5" t="str">
        <f t="shared" si="3"/>
        <v>1054</v>
      </c>
      <c r="E27" s="6" t="str">
        <f t="shared" si="4"/>
        <v>Резервы (провизии) по корреспондентским счетам в других банках и текущим счетам ипотечных организаций</v>
      </c>
      <c r="F27" s="3" t="str">
        <f>"2"</f>
        <v>2</v>
      </c>
      <c r="G27" s="3" t="str">
        <f>"5"</f>
        <v>5</v>
      </c>
      <c r="H27" s="3" t="str">
        <f>"1"</f>
        <v>1</v>
      </c>
      <c r="I27" s="7">
        <v>-295.18</v>
      </c>
    </row>
    <row r="28" spans="1:9" x14ac:dyDescent="0.25">
      <c r="A28" s="3">
        <v>21</v>
      </c>
      <c r="B28" s="4">
        <v>45289</v>
      </c>
      <c r="C28" s="3">
        <v>15</v>
      </c>
      <c r="D28" s="5" t="str">
        <f t="shared" si="3"/>
        <v>1054</v>
      </c>
      <c r="E28" s="6" t="str">
        <f t="shared" si="4"/>
        <v>Резервы (провизии) по корреспондентским счетам в других банках и текущим счетам ипотечных организаций</v>
      </c>
      <c r="F28" s="3" t="str">
        <f>"2"</f>
        <v>2</v>
      </c>
      <c r="G28" s="3" t="str">
        <f>"5"</f>
        <v>5</v>
      </c>
      <c r="H28" s="3" t="str">
        <f>"3"</f>
        <v>3</v>
      </c>
      <c r="I28" s="7">
        <v>-33.24</v>
      </c>
    </row>
    <row r="29" spans="1:9" x14ac:dyDescent="0.25">
      <c r="A29" s="3">
        <v>22</v>
      </c>
      <c r="B29" s="4">
        <v>45289</v>
      </c>
      <c r="C29" s="3">
        <v>15</v>
      </c>
      <c r="D29" s="5" t="str">
        <f t="shared" si="3"/>
        <v>1054</v>
      </c>
      <c r="E29" s="6" t="str">
        <f t="shared" si="4"/>
        <v>Резервы (провизии) по корреспондентским счетам в других банках и текущим счетам ипотечных организаций</v>
      </c>
      <c r="F29" s="3" t="str">
        <f>"1"</f>
        <v>1</v>
      </c>
      <c r="G29" s="3" t="str">
        <f>"4"</f>
        <v>4</v>
      </c>
      <c r="H29" s="3" t="str">
        <f>"1"</f>
        <v>1</v>
      </c>
      <c r="I29" s="7">
        <v>-5206.72</v>
      </c>
    </row>
    <row r="30" spans="1:9" x14ac:dyDescent="0.25">
      <c r="A30" s="3">
        <v>23</v>
      </c>
      <c r="B30" s="4">
        <v>45289</v>
      </c>
      <c r="C30" s="3">
        <v>15</v>
      </c>
      <c r="D30" s="5" t="str">
        <f>"1103"</f>
        <v>1103</v>
      </c>
      <c r="E30" s="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0" s="3" t="str">
        <f>"1"</f>
        <v>1</v>
      </c>
      <c r="G30" s="3" t="str">
        <f>"3"</f>
        <v>3</v>
      </c>
      <c r="H30" s="3" t="str">
        <f>"2"</f>
        <v>2</v>
      </c>
      <c r="I30" s="7">
        <v>36364800000</v>
      </c>
    </row>
    <row r="31" spans="1:9" x14ac:dyDescent="0.25">
      <c r="A31" s="3">
        <v>24</v>
      </c>
      <c r="B31" s="4">
        <v>45289</v>
      </c>
      <c r="C31" s="3">
        <v>15</v>
      </c>
      <c r="D31" s="5" t="str">
        <f>"1254"</f>
        <v>1254</v>
      </c>
      <c r="E31" s="6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31" s="3" t="str">
        <f>"2"</f>
        <v>2</v>
      </c>
      <c r="G31" s="3" t="str">
        <f>"4"</f>
        <v>4</v>
      </c>
      <c r="H31" s="3" t="str">
        <f>"3"</f>
        <v>3</v>
      </c>
      <c r="I31" s="7">
        <v>2530000000</v>
      </c>
    </row>
    <row r="32" spans="1:9" x14ac:dyDescent="0.25">
      <c r="A32" s="3">
        <v>25</v>
      </c>
      <c r="B32" s="4">
        <v>45289</v>
      </c>
      <c r="C32" s="3">
        <v>15</v>
      </c>
      <c r="D32" s="5" t="str">
        <f>"1259"</f>
        <v>1259</v>
      </c>
      <c r="E32" s="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2" s="3" t="str">
        <f>"2"</f>
        <v>2</v>
      </c>
      <c r="G32" s="3" t="str">
        <f>"4"</f>
        <v>4</v>
      </c>
      <c r="H32" s="3" t="str">
        <f>"3"</f>
        <v>3</v>
      </c>
      <c r="I32" s="7">
        <v>-44051.9</v>
      </c>
    </row>
    <row r="33" spans="1:9" x14ac:dyDescent="0.25">
      <c r="A33" s="3">
        <v>26</v>
      </c>
      <c r="B33" s="4">
        <v>45289</v>
      </c>
      <c r="C33" s="3">
        <v>15</v>
      </c>
      <c r="D33" s="5" t="str">
        <f>"1259"</f>
        <v>1259</v>
      </c>
      <c r="E33" s="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3" s="3" t="str">
        <f>"2"</f>
        <v>2</v>
      </c>
      <c r="G33" s="3" t="str">
        <f>"5"</f>
        <v>5</v>
      </c>
      <c r="H33" s="3" t="str">
        <f>"2"</f>
        <v>2</v>
      </c>
      <c r="I33" s="7">
        <v>-38410.32</v>
      </c>
    </row>
    <row r="34" spans="1:9" x14ac:dyDescent="0.25">
      <c r="A34" s="3">
        <v>27</v>
      </c>
      <c r="B34" s="4">
        <v>45289</v>
      </c>
      <c r="C34" s="3">
        <v>15</v>
      </c>
      <c r="D34" s="5" t="str">
        <f>"1264"</f>
        <v>1264</v>
      </c>
      <c r="E34" s="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4" s="3" t="str">
        <f>"2"</f>
        <v>2</v>
      </c>
      <c r="G34" s="3" t="str">
        <f>"4"</f>
        <v>4</v>
      </c>
      <c r="H34" s="3" t="str">
        <f>"2"</f>
        <v>2</v>
      </c>
      <c r="I34" s="7">
        <v>72729600</v>
      </c>
    </row>
    <row r="35" spans="1:9" x14ac:dyDescent="0.25">
      <c r="A35" s="3">
        <v>28</v>
      </c>
      <c r="B35" s="4">
        <v>45289</v>
      </c>
      <c r="C35" s="3">
        <v>15</v>
      </c>
      <c r="D35" s="5" t="str">
        <f>"1264"</f>
        <v>1264</v>
      </c>
      <c r="E35" s="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5" s="3" t="str">
        <f>"2"</f>
        <v>2</v>
      </c>
      <c r="G35" s="3" t="str">
        <f>"5"</f>
        <v>5</v>
      </c>
      <c r="H35" s="3" t="str">
        <f>"2"</f>
        <v>2</v>
      </c>
      <c r="I35" s="7">
        <v>1590950908.8</v>
      </c>
    </row>
    <row r="36" spans="1:9" x14ac:dyDescent="0.25">
      <c r="A36" s="3">
        <v>29</v>
      </c>
      <c r="B36" s="4">
        <v>45289</v>
      </c>
      <c r="C36" s="3">
        <v>15</v>
      </c>
      <c r="D36" s="5" t="str">
        <f>"1267"</f>
        <v>1267</v>
      </c>
      <c r="E36" s="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6" s="3" t="str">
        <f>"1"</f>
        <v>1</v>
      </c>
      <c r="G36" s="3" t="str">
        <f>"5"</f>
        <v>5</v>
      </c>
      <c r="H36" s="3" t="str">
        <f>"1"</f>
        <v>1</v>
      </c>
      <c r="I36" s="7">
        <v>1555000000</v>
      </c>
    </row>
    <row r="37" spans="1:9" x14ac:dyDescent="0.25">
      <c r="A37" s="3">
        <v>30</v>
      </c>
      <c r="B37" s="4">
        <v>45289</v>
      </c>
      <c r="C37" s="3">
        <v>15</v>
      </c>
      <c r="D37" s="5" t="str">
        <f>"1302"</f>
        <v>1302</v>
      </c>
      <c r="E37" s="6" t="str">
        <f>"Краткосрочные займы, предоставленные другим банкам"</f>
        <v>Краткосрочные займы, предоставленные другим банкам</v>
      </c>
      <c r="F37" s="3" t="str">
        <f>"1"</f>
        <v>1</v>
      </c>
      <c r="G37" s="3" t="str">
        <f>"4"</f>
        <v>4</v>
      </c>
      <c r="H37" s="3" t="str">
        <f>"1"</f>
        <v>1</v>
      </c>
      <c r="I37" s="7">
        <v>3000000000</v>
      </c>
    </row>
    <row r="38" spans="1:9" x14ac:dyDescent="0.25">
      <c r="A38" s="3">
        <v>31</v>
      </c>
      <c r="B38" s="4">
        <v>45289</v>
      </c>
      <c r="C38" s="3">
        <v>15</v>
      </c>
      <c r="D38" s="5" t="str">
        <f>"1302"</f>
        <v>1302</v>
      </c>
      <c r="E38" s="6" t="str">
        <f>"Краткосрочные займы, предоставленные другим банкам"</f>
        <v>Краткосрочные займы, предоставленные другим банкам</v>
      </c>
      <c r="F38" s="3" t="str">
        <f>"2"</f>
        <v>2</v>
      </c>
      <c r="G38" s="3" t="str">
        <f>"4"</f>
        <v>4</v>
      </c>
      <c r="H38" s="3" t="str">
        <f>"2"</f>
        <v>2</v>
      </c>
      <c r="I38" s="7">
        <v>2008960000</v>
      </c>
    </row>
    <row r="39" spans="1:9" x14ac:dyDescent="0.25">
      <c r="A39" s="3">
        <v>32</v>
      </c>
      <c r="B39" s="4">
        <v>45289</v>
      </c>
      <c r="C39" s="3">
        <v>15</v>
      </c>
      <c r="D39" s="5" t="str">
        <f>"1304"</f>
        <v>1304</v>
      </c>
      <c r="E39" s="6" t="str">
        <f>"Долгосрочные займы, предоставленные другим банкам"</f>
        <v>Долгосрочные займы, предоставленные другим банкам</v>
      </c>
      <c r="F39" s="3" t="str">
        <f>"2"</f>
        <v>2</v>
      </c>
      <c r="G39" s="3" t="str">
        <f>"3"</f>
        <v>3</v>
      </c>
      <c r="H39" s="3" t="str">
        <f>"2"</f>
        <v>2</v>
      </c>
      <c r="I39" s="7">
        <v>8182080000</v>
      </c>
    </row>
    <row r="40" spans="1:9" x14ac:dyDescent="0.25">
      <c r="A40" s="3">
        <v>33</v>
      </c>
      <c r="B40" s="4">
        <v>45289</v>
      </c>
      <c r="C40" s="3">
        <v>15</v>
      </c>
      <c r="D40" s="5" t="str">
        <f>"1304"</f>
        <v>1304</v>
      </c>
      <c r="E40" s="6" t="str">
        <f>"Долгосрочные займы, предоставленные другим банкам"</f>
        <v>Долгосрочные займы, предоставленные другим банкам</v>
      </c>
      <c r="F40" s="3" t="str">
        <f>"2"</f>
        <v>2</v>
      </c>
      <c r="G40" s="3" t="str">
        <f>"4"</f>
        <v>4</v>
      </c>
      <c r="H40" s="3" t="str">
        <f>"2"</f>
        <v>2</v>
      </c>
      <c r="I40" s="7">
        <v>5143200000</v>
      </c>
    </row>
    <row r="41" spans="1:9" x14ac:dyDescent="0.25">
      <c r="A41" s="3">
        <v>34</v>
      </c>
      <c r="B41" s="4">
        <v>45289</v>
      </c>
      <c r="C41" s="3">
        <v>15</v>
      </c>
      <c r="D41" s="5" t="str">
        <f>"1312"</f>
        <v>1312</v>
      </c>
      <c r="E41" s="6" t="str">
        <f>"Дисконт по займам, предоставленным другим банкам"</f>
        <v>Дисконт по займам, предоставленным другим банкам</v>
      </c>
      <c r="F41" s="3" t="str">
        <f>"2"</f>
        <v>2</v>
      </c>
      <c r="G41" s="3" t="str">
        <f>"4"</f>
        <v>4</v>
      </c>
      <c r="H41" s="3" t="str">
        <f>"2"</f>
        <v>2</v>
      </c>
      <c r="I41" s="7">
        <v>-26291366.260000002</v>
      </c>
    </row>
    <row r="42" spans="1:9" x14ac:dyDescent="0.25">
      <c r="A42" s="3">
        <v>35</v>
      </c>
      <c r="B42" s="4">
        <v>45289</v>
      </c>
      <c r="C42" s="3">
        <v>15</v>
      </c>
      <c r="D42" s="5" t="str">
        <f>"1319"</f>
        <v>1319</v>
      </c>
      <c r="E42" s="6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2" s="3" t="str">
        <f>"2"</f>
        <v>2</v>
      </c>
      <c r="G42" s="3" t="str">
        <f>"3"</f>
        <v>3</v>
      </c>
      <c r="H42" s="3" t="str">
        <f>"2"</f>
        <v>2</v>
      </c>
      <c r="I42" s="7">
        <v>-162332521.75</v>
      </c>
    </row>
    <row r="43" spans="1:9" x14ac:dyDescent="0.25">
      <c r="A43" s="3">
        <v>36</v>
      </c>
      <c r="B43" s="4">
        <v>45289</v>
      </c>
      <c r="C43" s="3">
        <v>15</v>
      </c>
      <c r="D43" s="5" t="str">
        <f>"1319"</f>
        <v>1319</v>
      </c>
      <c r="E43" s="6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3" s="3" t="str">
        <f>"1"</f>
        <v>1</v>
      </c>
      <c r="G43" s="3" t="str">
        <f>"4"</f>
        <v>4</v>
      </c>
      <c r="H43" s="3" t="str">
        <f>"1"</f>
        <v>1</v>
      </c>
      <c r="I43" s="7">
        <v>-57109250</v>
      </c>
    </row>
    <row r="44" spans="1:9" x14ac:dyDescent="0.25">
      <c r="A44" s="3">
        <v>37</v>
      </c>
      <c r="B44" s="4">
        <v>45289</v>
      </c>
      <c r="C44" s="3">
        <v>15</v>
      </c>
      <c r="D44" s="5" t="str">
        <f>"1319"</f>
        <v>1319</v>
      </c>
      <c r="E44" s="6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4" s="3" t="str">
        <f>"2"</f>
        <v>2</v>
      </c>
      <c r="G44" s="3" t="str">
        <f>"4"</f>
        <v>4</v>
      </c>
      <c r="H44" s="3" t="str">
        <f>"2"</f>
        <v>2</v>
      </c>
      <c r="I44" s="7">
        <v>-789271330.27999997</v>
      </c>
    </row>
    <row r="45" spans="1:9" x14ac:dyDescent="0.25">
      <c r="A45" s="3">
        <v>38</v>
      </c>
      <c r="B45" s="4">
        <v>45289</v>
      </c>
      <c r="C45" s="3">
        <v>15</v>
      </c>
      <c r="D45" s="5" t="str">
        <f>"1401"</f>
        <v>1401</v>
      </c>
      <c r="E45" s="6" t="str">
        <f>"Займы овердрафт, предоставленные клиентам"</f>
        <v>Займы овердрафт, предоставленные клиентам</v>
      </c>
      <c r="F45" s="3" t="str">
        <f>"1"</f>
        <v>1</v>
      </c>
      <c r="G45" s="3" t="str">
        <f>"5"</f>
        <v>5</v>
      </c>
      <c r="H45" s="3" t="str">
        <f>"1"</f>
        <v>1</v>
      </c>
      <c r="I45" s="7">
        <v>1000000000</v>
      </c>
    </row>
    <row r="46" spans="1:9" x14ac:dyDescent="0.25">
      <c r="A46" s="3">
        <v>39</v>
      </c>
      <c r="B46" s="4">
        <v>45289</v>
      </c>
      <c r="C46" s="3">
        <v>15</v>
      </c>
      <c r="D46" s="5" t="str">
        <f>"1401"</f>
        <v>1401</v>
      </c>
      <c r="E46" s="6" t="str">
        <f>"Займы овердрафт, предоставленные клиентам"</f>
        <v>Займы овердрафт, предоставленные клиентам</v>
      </c>
      <c r="F46" s="3" t="str">
        <f>"1"</f>
        <v>1</v>
      </c>
      <c r="G46" s="3" t="str">
        <f>"7"</f>
        <v>7</v>
      </c>
      <c r="H46" s="3" t="str">
        <f>"2"</f>
        <v>2</v>
      </c>
      <c r="I46" s="7">
        <v>73866000</v>
      </c>
    </row>
    <row r="47" spans="1:9" x14ac:dyDescent="0.25">
      <c r="A47" s="3">
        <v>40</v>
      </c>
      <c r="B47" s="4">
        <v>45289</v>
      </c>
      <c r="C47" s="3">
        <v>15</v>
      </c>
      <c r="D47" s="5" t="str">
        <f>"1403"</f>
        <v>1403</v>
      </c>
      <c r="E47" s="6" t="str">
        <f>"Счета по кредитным карточкам клиентов"</f>
        <v>Счета по кредитным карточкам клиентов</v>
      </c>
      <c r="F47" s="3" t="str">
        <f>"2"</f>
        <v>2</v>
      </c>
      <c r="G47" s="3" t="str">
        <f>"9"</f>
        <v>9</v>
      </c>
      <c r="H47" s="3" t="str">
        <f>"1"</f>
        <v>1</v>
      </c>
      <c r="I47" s="7">
        <v>77684821.439999998</v>
      </c>
    </row>
    <row r="48" spans="1:9" x14ac:dyDescent="0.25">
      <c r="A48" s="3">
        <v>41</v>
      </c>
      <c r="B48" s="4">
        <v>45289</v>
      </c>
      <c r="C48" s="3">
        <v>15</v>
      </c>
      <c r="D48" s="5" t="str">
        <f>"1403"</f>
        <v>1403</v>
      </c>
      <c r="E48" s="6" t="str">
        <f>"Счета по кредитным карточкам клиентов"</f>
        <v>Счета по кредитным карточкам клиентов</v>
      </c>
      <c r="F48" s="3" t="str">
        <f>"1"</f>
        <v>1</v>
      </c>
      <c r="G48" s="3" t="str">
        <f>"9"</f>
        <v>9</v>
      </c>
      <c r="H48" s="3" t="str">
        <f>"1"</f>
        <v>1</v>
      </c>
      <c r="I48" s="7">
        <v>1782341869.6800001</v>
      </c>
    </row>
    <row r="49" spans="1:9" x14ac:dyDescent="0.25">
      <c r="A49" s="3">
        <v>42</v>
      </c>
      <c r="B49" s="4">
        <v>45289</v>
      </c>
      <c r="C49" s="3">
        <v>15</v>
      </c>
      <c r="D49" s="5" t="str">
        <f>"1411"</f>
        <v>1411</v>
      </c>
      <c r="E49" s="6" t="str">
        <f>"Краткосрочные займы, предоставленные клиентам"</f>
        <v>Краткосрочные займы, предоставленные клиентам</v>
      </c>
      <c r="F49" s="3" t="str">
        <f>"2"</f>
        <v>2</v>
      </c>
      <c r="G49" s="3" t="str">
        <f>"6"</f>
        <v>6</v>
      </c>
      <c r="H49" s="3" t="str">
        <f>"2"</f>
        <v>2</v>
      </c>
      <c r="I49" s="7">
        <v>4545600000</v>
      </c>
    </row>
    <row r="50" spans="1:9" x14ac:dyDescent="0.25">
      <c r="A50" s="3">
        <v>43</v>
      </c>
      <c r="B50" s="4">
        <v>45289</v>
      </c>
      <c r="C50" s="3">
        <v>15</v>
      </c>
      <c r="D50" s="5" t="str">
        <f>"1411"</f>
        <v>1411</v>
      </c>
      <c r="E50" s="6" t="str">
        <f>"Краткосрочные займы, предоставленные клиентам"</f>
        <v>Краткосрочные займы, предоставленные клиентам</v>
      </c>
      <c r="F50" s="3" t="str">
        <f>"1"</f>
        <v>1</v>
      </c>
      <c r="G50" s="3" t="str">
        <f>"5"</f>
        <v>5</v>
      </c>
      <c r="H50" s="3" t="str">
        <f>"1"</f>
        <v>1</v>
      </c>
      <c r="I50" s="7">
        <v>8300000000</v>
      </c>
    </row>
    <row r="51" spans="1:9" x14ac:dyDescent="0.25">
      <c r="A51" s="3">
        <v>44</v>
      </c>
      <c r="B51" s="4">
        <v>45289</v>
      </c>
      <c r="C51" s="3">
        <v>15</v>
      </c>
      <c r="D51" s="5" t="str">
        <f>"1411"</f>
        <v>1411</v>
      </c>
      <c r="E51" s="6" t="str">
        <f>"Краткосрочные займы, предоставленные клиентам"</f>
        <v>Краткосрочные займы, предоставленные клиентам</v>
      </c>
      <c r="F51" s="3" t="str">
        <f>"1"</f>
        <v>1</v>
      </c>
      <c r="G51" s="3" t="str">
        <f>"9"</f>
        <v>9</v>
      </c>
      <c r="H51" s="3" t="str">
        <f>"1"</f>
        <v>1</v>
      </c>
      <c r="I51" s="7">
        <v>1396357024.7</v>
      </c>
    </row>
    <row r="52" spans="1:9" x14ac:dyDescent="0.25">
      <c r="A52" s="3">
        <v>45</v>
      </c>
      <c r="B52" s="4">
        <v>45289</v>
      </c>
      <c r="C52" s="3">
        <v>15</v>
      </c>
      <c r="D52" s="5" t="str">
        <f>"1411"</f>
        <v>1411</v>
      </c>
      <c r="E52" s="6" t="str">
        <f>"Краткосрочные займы, предоставленные клиентам"</f>
        <v>Краткосрочные займы, предоставленные клиентам</v>
      </c>
      <c r="F52" s="3" t="str">
        <f>"1"</f>
        <v>1</v>
      </c>
      <c r="G52" s="3" t="str">
        <f>"7"</f>
        <v>7</v>
      </c>
      <c r="H52" s="3" t="str">
        <f>"1"</f>
        <v>1</v>
      </c>
      <c r="I52" s="7">
        <v>48802657274.900002</v>
      </c>
    </row>
    <row r="53" spans="1:9" x14ac:dyDescent="0.25">
      <c r="A53" s="3">
        <v>46</v>
      </c>
      <c r="B53" s="4">
        <v>45289</v>
      </c>
      <c r="C53" s="3">
        <v>15</v>
      </c>
      <c r="D53" s="5" t="str">
        <f>"1411"</f>
        <v>1411</v>
      </c>
      <c r="E53" s="6" t="str">
        <f>"Краткосрочные займы, предоставленные клиентам"</f>
        <v>Краткосрочные займы, предоставленные клиентам</v>
      </c>
      <c r="F53" s="3" t="str">
        <f>"1"</f>
        <v>1</v>
      </c>
      <c r="G53" s="3" t="str">
        <f>"7"</f>
        <v>7</v>
      </c>
      <c r="H53" s="3" t="str">
        <f>"2"</f>
        <v>2</v>
      </c>
      <c r="I53" s="7">
        <v>32913040133.580002</v>
      </c>
    </row>
    <row r="54" spans="1:9" x14ac:dyDescent="0.25">
      <c r="A54" s="3">
        <v>47</v>
      </c>
      <c r="B54" s="4">
        <v>45289</v>
      </c>
      <c r="C54" s="3">
        <v>15</v>
      </c>
      <c r="D54" s="5" t="str">
        <f>"1417"</f>
        <v>1417</v>
      </c>
      <c r="E54" s="6" t="str">
        <f>"Долгосрочные займы, предоставленные клиентам"</f>
        <v>Долгосрочные займы, предоставленные клиентам</v>
      </c>
      <c r="F54" s="3" t="str">
        <f>"2"</f>
        <v>2</v>
      </c>
      <c r="G54" s="3" t="str">
        <f>"9"</f>
        <v>9</v>
      </c>
      <c r="H54" s="3" t="str">
        <f>"1"</f>
        <v>1</v>
      </c>
      <c r="I54" s="7">
        <v>23464221.41</v>
      </c>
    </row>
    <row r="55" spans="1:9" x14ac:dyDescent="0.25">
      <c r="A55" s="3">
        <v>48</v>
      </c>
      <c r="B55" s="4">
        <v>45289</v>
      </c>
      <c r="C55" s="3">
        <v>15</v>
      </c>
      <c r="D55" s="5" t="str">
        <f>"1417"</f>
        <v>1417</v>
      </c>
      <c r="E55" s="6" t="str">
        <f>"Долгосрочные займы, предоставленные клиентам"</f>
        <v>Долгосрочные займы, предоставленные клиентам</v>
      </c>
      <c r="F55" s="3" t="str">
        <f>"1"</f>
        <v>1</v>
      </c>
      <c r="G55" s="3" t="str">
        <f>"7"</f>
        <v>7</v>
      </c>
      <c r="H55" s="3" t="str">
        <f>"2"</f>
        <v>2</v>
      </c>
      <c r="I55" s="7">
        <v>909120000</v>
      </c>
    </row>
    <row r="56" spans="1:9" x14ac:dyDescent="0.25">
      <c r="A56" s="3">
        <v>49</v>
      </c>
      <c r="B56" s="4">
        <v>45289</v>
      </c>
      <c r="C56" s="3">
        <v>15</v>
      </c>
      <c r="D56" s="5" t="str">
        <f>"1417"</f>
        <v>1417</v>
      </c>
      <c r="E56" s="6" t="str">
        <f>"Долгосрочные займы, предоставленные клиентам"</f>
        <v>Долгосрочные займы, предоставленные клиентам</v>
      </c>
      <c r="F56" s="3" t="str">
        <f>"1"</f>
        <v>1</v>
      </c>
      <c r="G56" s="3" t="str">
        <f>"9"</f>
        <v>9</v>
      </c>
      <c r="H56" s="3" t="str">
        <f t="shared" ref="H56:H61" si="5">"1"</f>
        <v>1</v>
      </c>
      <c r="I56" s="7">
        <v>235519318521.64999</v>
      </c>
    </row>
    <row r="57" spans="1:9" x14ac:dyDescent="0.25">
      <c r="A57" s="3">
        <v>50</v>
      </c>
      <c r="B57" s="4">
        <v>45289</v>
      </c>
      <c r="C57" s="3">
        <v>15</v>
      </c>
      <c r="D57" s="5" t="str">
        <f>"1417"</f>
        <v>1417</v>
      </c>
      <c r="E57" s="6" t="str">
        <f>"Долгосрочные займы, предоставленные клиентам"</f>
        <v>Долгосрочные займы, предоставленные клиентам</v>
      </c>
      <c r="F57" s="3" t="str">
        <f>"1"</f>
        <v>1</v>
      </c>
      <c r="G57" s="3" t="str">
        <f>"5"</f>
        <v>5</v>
      </c>
      <c r="H57" s="3" t="str">
        <f t="shared" si="5"/>
        <v>1</v>
      </c>
      <c r="I57" s="7">
        <v>42942975010.830002</v>
      </c>
    </row>
    <row r="58" spans="1:9" x14ac:dyDescent="0.25">
      <c r="A58" s="3">
        <v>51</v>
      </c>
      <c r="B58" s="4">
        <v>45289</v>
      </c>
      <c r="C58" s="3">
        <v>15</v>
      </c>
      <c r="D58" s="5" t="str">
        <f>"1417"</f>
        <v>1417</v>
      </c>
      <c r="E58" s="6" t="str">
        <f>"Долгосрочные займы, предоставленные клиентам"</f>
        <v>Долгосрочные займы, предоставленные клиентам</v>
      </c>
      <c r="F58" s="3" t="str">
        <f>"1"</f>
        <v>1</v>
      </c>
      <c r="G58" s="3" t="str">
        <f>"7"</f>
        <v>7</v>
      </c>
      <c r="H58" s="3" t="str">
        <f t="shared" si="5"/>
        <v>1</v>
      </c>
      <c r="I58" s="7">
        <v>18761559741.23</v>
      </c>
    </row>
    <row r="59" spans="1:9" x14ac:dyDescent="0.25">
      <c r="A59" s="3">
        <v>52</v>
      </c>
      <c r="B59" s="4">
        <v>45289</v>
      </c>
      <c r="C59" s="3">
        <v>15</v>
      </c>
      <c r="D59" s="5" t="str">
        <f>"1424"</f>
        <v>1424</v>
      </c>
      <c r="E59" s="6" t="str">
        <f>"Просроченная задолженность клиентов по займам"</f>
        <v>Просроченная задолженность клиентов по займам</v>
      </c>
      <c r="F59" s="3" t="str">
        <f>"1"</f>
        <v>1</v>
      </c>
      <c r="G59" s="3" t="str">
        <f>"9"</f>
        <v>9</v>
      </c>
      <c r="H59" s="3" t="str">
        <f t="shared" si="5"/>
        <v>1</v>
      </c>
      <c r="I59" s="7">
        <v>770393192.12</v>
      </c>
    </row>
    <row r="60" spans="1:9" x14ac:dyDescent="0.25">
      <c r="A60" s="3">
        <v>53</v>
      </c>
      <c r="B60" s="4">
        <v>45289</v>
      </c>
      <c r="C60" s="3">
        <v>15</v>
      </c>
      <c r="D60" s="5" t="str">
        <f>"1424"</f>
        <v>1424</v>
      </c>
      <c r="E60" s="6" t="str">
        <f>"Просроченная задолженность клиентов по займам"</f>
        <v>Просроченная задолженность клиентов по займам</v>
      </c>
      <c r="F60" s="3" t="str">
        <f>"2"</f>
        <v>2</v>
      </c>
      <c r="G60" s="3" t="str">
        <f>"9"</f>
        <v>9</v>
      </c>
      <c r="H60" s="3" t="str">
        <f t="shared" si="5"/>
        <v>1</v>
      </c>
      <c r="I60" s="7">
        <v>7435220.8899999997</v>
      </c>
    </row>
    <row r="61" spans="1:9" x14ac:dyDescent="0.25">
      <c r="A61" s="3">
        <v>54</v>
      </c>
      <c r="B61" s="4">
        <v>45289</v>
      </c>
      <c r="C61" s="3">
        <v>15</v>
      </c>
      <c r="D61" s="5" t="str">
        <f t="shared" ref="D61:D66" si="6">"1428"</f>
        <v>1428</v>
      </c>
      <c r="E61" s="6" t="str">
        <f t="shared" ref="E61:E66" si="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1" s="3" t="str">
        <f>"2"</f>
        <v>2</v>
      </c>
      <c r="G61" s="3" t="str">
        <f>"9"</f>
        <v>9</v>
      </c>
      <c r="H61" s="3" t="str">
        <f t="shared" si="5"/>
        <v>1</v>
      </c>
      <c r="I61" s="7">
        <v>-21553312.149999999</v>
      </c>
    </row>
    <row r="62" spans="1:9" x14ac:dyDescent="0.25">
      <c r="A62" s="3">
        <v>55</v>
      </c>
      <c r="B62" s="4">
        <v>45289</v>
      </c>
      <c r="C62" s="3">
        <v>15</v>
      </c>
      <c r="D62" s="5" t="str">
        <f t="shared" si="6"/>
        <v>1428</v>
      </c>
      <c r="E62" s="6" t="str">
        <f t="shared" si="7"/>
        <v>Резервы (провизии) по займам и финансовому лизингу, предоставленным клиентам</v>
      </c>
      <c r="F62" s="3" t="str">
        <f>"1"</f>
        <v>1</v>
      </c>
      <c r="G62" s="3" t="str">
        <f>"7"</f>
        <v>7</v>
      </c>
      <c r="H62" s="3" t="str">
        <f>"2"</f>
        <v>2</v>
      </c>
      <c r="I62" s="7">
        <v>-1263496607.8699999</v>
      </c>
    </row>
    <row r="63" spans="1:9" x14ac:dyDescent="0.25">
      <c r="A63" s="3">
        <v>56</v>
      </c>
      <c r="B63" s="4">
        <v>45289</v>
      </c>
      <c r="C63" s="3">
        <v>15</v>
      </c>
      <c r="D63" s="5" t="str">
        <f t="shared" si="6"/>
        <v>1428</v>
      </c>
      <c r="E63" s="6" t="str">
        <f t="shared" si="7"/>
        <v>Резервы (провизии) по займам и финансовому лизингу, предоставленным клиентам</v>
      </c>
      <c r="F63" s="3" t="str">
        <f>"2"</f>
        <v>2</v>
      </c>
      <c r="G63" s="3" t="str">
        <f>"6"</f>
        <v>6</v>
      </c>
      <c r="H63" s="3" t="str">
        <f>"2"</f>
        <v>2</v>
      </c>
      <c r="I63" s="7">
        <v>-481868287.47000003</v>
      </c>
    </row>
    <row r="64" spans="1:9" x14ac:dyDescent="0.25">
      <c r="A64" s="3">
        <v>57</v>
      </c>
      <c r="B64" s="4">
        <v>45289</v>
      </c>
      <c r="C64" s="3">
        <v>15</v>
      </c>
      <c r="D64" s="5" t="str">
        <f t="shared" si="6"/>
        <v>1428</v>
      </c>
      <c r="E64" s="6" t="str">
        <f t="shared" si="7"/>
        <v>Резервы (провизии) по займам и финансовому лизингу, предоставленным клиентам</v>
      </c>
      <c r="F64" s="3" t="str">
        <f t="shared" ref="F64:F69" si="8">"1"</f>
        <v>1</v>
      </c>
      <c r="G64" s="3" t="str">
        <f>"5"</f>
        <v>5</v>
      </c>
      <c r="H64" s="3" t="str">
        <f>"1"</f>
        <v>1</v>
      </c>
      <c r="I64" s="7">
        <v>-171875290.65000001</v>
      </c>
    </row>
    <row r="65" spans="1:9" x14ac:dyDescent="0.25">
      <c r="A65" s="3">
        <v>58</v>
      </c>
      <c r="B65" s="4">
        <v>45289</v>
      </c>
      <c r="C65" s="3">
        <v>15</v>
      </c>
      <c r="D65" s="5" t="str">
        <f t="shared" si="6"/>
        <v>1428</v>
      </c>
      <c r="E65" s="6" t="str">
        <f t="shared" si="7"/>
        <v>Резервы (провизии) по займам и финансовому лизингу, предоставленным клиентам</v>
      </c>
      <c r="F65" s="3" t="str">
        <f t="shared" si="8"/>
        <v>1</v>
      </c>
      <c r="G65" s="3" t="str">
        <f>"9"</f>
        <v>9</v>
      </c>
      <c r="H65" s="3" t="str">
        <f>"1"</f>
        <v>1</v>
      </c>
      <c r="I65" s="7">
        <v>-7604035384.6300001</v>
      </c>
    </row>
    <row r="66" spans="1:9" x14ac:dyDescent="0.25">
      <c r="A66" s="3">
        <v>59</v>
      </c>
      <c r="B66" s="4">
        <v>45289</v>
      </c>
      <c r="C66" s="3">
        <v>15</v>
      </c>
      <c r="D66" s="5" t="str">
        <f t="shared" si="6"/>
        <v>1428</v>
      </c>
      <c r="E66" s="6" t="str">
        <f t="shared" si="7"/>
        <v>Резервы (провизии) по займам и финансовому лизингу, предоставленным клиентам</v>
      </c>
      <c r="F66" s="3" t="str">
        <f t="shared" si="8"/>
        <v>1</v>
      </c>
      <c r="G66" s="3" t="str">
        <f>"7"</f>
        <v>7</v>
      </c>
      <c r="H66" s="3" t="str">
        <f>"1"</f>
        <v>1</v>
      </c>
      <c r="I66" s="7">
        <v>-2700931294.5900002</v>
      </c>
    </row>
    <row r="67" spans="1:9" x14ac:dyDescent="0.25">
      <c r="A67" s="3">
        <v>60</v>
      </c>
      <c r="B67" s="4">
        <v>45289</v>
      </c>
      <c r="C67" s="3">
        <v>15</v>
      </c>
      <c r="D67" s="5" t="str">
        <f>"1434"</f>
        <v>1434</v>
      </c>
      <c r="E67" s="6" t="str">
        <f>"Дисконт по займам, предоставленным клиентам"</f>
        <v>Дисконт по займам, предоставленным клиентам</v>
      </c>
      <c r="F67" s="3" t="str">
        <f t="shared" si="8"/>
        <v>1</v>
      </c>
      <c r="G67" s="3" t="str">
        <f>"5"</f>
        <v>5</v>
      </c>
      <c r="H67" s="3" t="str">
        <f>"1"</f>
        <v>1</v>
      </c>
      <c r="I67" s="7">
        <v>-39603156.859999999</v>
      </c>
    </row>
    <row r="68" spans="1:9" x14ac:dyDescent="0.25">
      <c r="A68" s="3">
        <v>61</v>
      </c>
      <c r="B68" s="4">
        <v>45289</v>
      </c>
      <c r="C68" s="3">
        <v>15</v>
      </c>
      <c r="D68" s="5" t="str">
        <f>"1434"</f>
        <v>1434</v>
      </c>
      <c r="E68" s="6" t="str">
        <f>"Дисконт по займам, предоставленным клиентам"</f>
        <v>Дисконт по займам, предоставленным клиентам</v>
      </c>
      <c r="F68" s="3" t="str">
        <f t="shared" si="8"/>
        <v>1</v>
      </c>
      <c r="G68" s="3" t="str">
        <f>"7"</f>
        <v>7</v>
      </c>
      <c r="H68" s="3" t="str">
        <f>"2"</f>
        <v>2</v>
      </c>
      <c r="I68" s="7">
        <v>-320542.08000000002</v>
      </c>
    </row>
    <row r="69" spans="1:9" x14ac:dyDescent="0.25">
      <c r="A69" s="3">
        <v>62</v>
      </c>
      <c r="B69" s="4">
        <v>45289</v>
      </c>
      <c r="C69" s="3">
        <v>15</v>
      </c>
      <c r="D69" s="5" t="str">
        <f>"1434"</f>
        <v>1434</v>
      </c>
      <c r="E69" s="6" t="str">
        <f>"Дисконт по займам, предоставленным клиентам"</f>
        <v>Дисконт по займам, предоставленным клиентам</v>
      </c>
      <c r="F69" s="3" t="str">
        <f t="shared" si="8"/>
        <v>1</v>
      </c>
      <c r="G69" s="3" t="str">
        <f>"9"</f>
        <v>9</v>
      </c>
      <c r="H69" s="3" t="str">
        <f t="shared" ref="H69:H74" si="9">"1"</f>
        <v>1</v>
      </c>
      <c r="I69" s="7">
        <v>-6472187885.5100002</v>
      </c>
    </row>
    <row r="70" spans="1:9" x14ac:dyDescent="0.25">
      <c r="A70" s="3">
        <v>63</v>
      </c>
      <c r="B70" s="4">
        <v>45289</v>
      </c>
      <c r="C70" s="3">
        <v>15</v>
      </c>
      <c r="D70" s="5" t="str">
        <f>"1434"</f>
        <v>1434</v>
      </c>
      <c r="E70" s="6" t="str">
        <f>"Дисконт по займам, предоставленным клиентам"</f>
        <v>Дисконт по займам, предоставленным клиентам</v>
      </c>
      <c r="F70" s="3" t="str">
        <f>"2"</f>
        <v>2</v>
      </c>
      <c r="G70" s="3" t="str">
        <f>"9"</f>
        <v>9</v>
      </c>
      <c r="H70" s="3" t="str">
        <f t="shared" si="9"/>
        <v>1</v>
      </c>
      <c r="I70" s="7">
        <v>-72391.509999999995</v>
      </c>
    </row>
    <row r="71" spans="1:9" x14ac:dyDescent="0.25">
      <c r="A71" s="3">
        <v>64</v>
      </c>
      <c r="B71" s="4">
        <v>45289</v>
      </c>
      <c r="C71" s="3">
        <v>15</v>
      </c>
      <c r="D71" s="5" t="str">
        <f>"1434"</f>
        <v>1434</v>
      </c>
      <c r="E71" s="6" t="str">
        <f>"Дисконт по займам, предоставленным клиентам"</f>
        <v>Дисконт по займам, предоставленным клиентам</v>
      </c>
      <c r="F71" s="3" t="str">
        <f>"1"</f>
        <v>1</v>
      </c>
      <c r="G71" s="3" t="str">
        <f>"7"</f>
        <v>7</v>
      </c>
      <c r="H71" s="3" t="str">
        <f t="shared" si="9"/>
        <v>1</v>
      </c>
      <c r="I71" s="7">
        <v>-3201875.15</v>
      </c>
    </row>
    <row r="72" spans="1:9" x14ac:dyDescent="0.25">
      <c r="A72" s="3">
        <v>65</v>
      </c>
      <c r="B72" s="4">
        <v>45289</v>
      </c>
      <c r="C72" s="3">
        <v>15</v>
      </c>
      <c r="D72" s="5" t="str">
        <f>"1435"</f>
        <v>1435</v>
      </c>
      <c r="E72" s="6" t="str">
        <f>"Премия по займам, предоставленным клиентам"</f>
        <v>Премия по займам, предоставленным клиентам</v>
      </c>
      <c r="F72" s="3" t="str">
        <f>"1"</f>
        <v>1</v>
      </c>
      <c r="G72" s="3" t="str">
        <f>"9"</f>
        <v>9</v>
      </c>
      <c r="H72" s="3" t="str">
        <f t="shared" si="9"/>
        <v>1</v>
      </c>
      <c r="I72" s="7">
        <v>68249.399999999994</v>
      </c>
    </row>
    <row r="73" spans="1:9" x14ac:dyDescent="0.25">
      <c r="A73" s="3">
        <v>66</v>
      </c>
      <c r="B73" s="4">
        <v>45289</v>
      </c>
      <c r="C73" s="3">
        <v>15</v>
      </c>
      <c r="D73" s="5" t="str">
        <f>"1452"</f>
        <v>1452</v>
      </c>
      <c r="E73" s="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3" s="3" t="str">
        <f>"1"</f>
        <v>1</v>
      </c>
      <c r="G73" s="3" t="str">
        <f>"1"</f>
        <v>1</v>
      </c>
      <c r="H73" s="3" t="str">
        <f t="shared" si="9"/>
        <v>1</v>
      </c>
      <c r="I73" s="7">
        <v>98252305000</v>
      </c>
    </row>
    <row r="74" spans="1:9" x14ac:dyDescent="0.25">
      <c r="A74" s="3">
        <v>67</v>
      </c>
      <c r="B74" s="4">
        <v>45289</v>
      </c>
      <c r="C74" s="3">
        <v>15</v>
      </c>
      <c r="D74" s="5" t="str">
        <f>"1452"</f>
        <v>1452</v>
      </c>
      <c r="E74" s="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4" s="3" t="str">
        <f>"1"</f>
        <v>1</v>
      </c>
      <c r="G74" s="3" t="str">
        <f>"3"</f>
        <v>3</v>
      </c>
      <c r="H74" s="3" t="str">
        <f t="shared" si="9"/>
        <v>1</v>
      </c>
      <c r="I74" s="7">
        <v>15000000000</v>
      </c>
    </row>
    <row r="75" spans="1:9" x14ac:dyDescent="0.25">
      <c r="A75" s="3">
        <v>68</v>
      </c>
      <c r="B75" s="4">
        <v>45289</v>
      </c>
      <c r="C75" s="3">
        <v>15</v>
      </c>
      <c r="D75" s="5" t="str">
        <f>"1452"</f>
        <v>1452</v>
      </c>
      <c r="E75" s="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5" s="3" t="str">
        <f>"1"</f>
        <v>1</v>
      </c>
      <c r="G75" s="3" t="str">
        <f>"1"</f>
        <v>1</v>
      </c>
      <c r="H75" s="3" t="str">
        <f>"2"</f>
        <v>2</v>
      </c>
      <c r="I75" s="7">
        <v>58722214400</v>
      </c>
    </row>
    <row r="76" spans="1:9" x14ac:dyDescent="0.25">
      <c r="A76" s="3">
        <v>69</v>
      </c>
      <c r="B76" s="4">
        <v>45289</v>
      </c>
      <c r="C76" s="3">
        <v>15</v>
      </c>
      <c r="D76" s="5" t="str">
        <f>"1452"</f>
        <v>1452</v>
      </c>
      <c r="E76" s="6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6" s="3" t="str">
        <f>"2"</f>
        <v>2</v>
      </c>
      <c r="G76" s="3" t="str">
        <f>"4"</f>
        <v>4</v>
      </c>
      <c r="H76" s="3" t="str">
        <f>"1"</f>
        <v>1</v>
      </c>
      <c r="I76" s="7">
        <v>7510000000</v>
      </c>
    </row>
    <row r="77" spans="1:9" x14ac:dyDescent="0.25">
      <c r="A77" s="3">
        <v>70</v>
      </c>
      <c r="B77" s="4">
        <v>45289</v>
      </c>
      <c r="C77" s="3">
        <v>15</v>
      </c>
      <c r="D77" s="5" t="str">
        <f>"1453"</f>
        <v>1453</v>
      </c>
      <c r="E77" s="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7" s="3" t="str">
        <f>"1"</f>
        <v>1</v>
      </c>
      <c r="G77" s="3" t="str">
        <f>"1"</f>
        <v>1</v>
      </c>
      <c r="H77" s="3" t="str">
        <f>"1"</f>
        <v>1</v>
      </c>
      <c r="I77" s="7">
        <v>-1776478952.5799999</v>
      </c>
    </row>
    <row r="78" spans="1:9" x14ac:dyDescent="0.25">
      <c r="A78" s="3">
        <v>71</v>
      </c>
      <c r="B78" s="4">
        <v>45289</v>
      </c>
      <c r="C78" s="3">
        <v>15</v>
      </c>
      <c r="D78" s="5" t="str">
        <f>"1453"</f>
        <v>1453</v>
      </c>
      <c r="E78" s="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8" s="3" t="str">
        <f t="shared" ref="F78:G85" si="10">"1"</f>
        <v>1</v>
      </c>
      <c r="G78" s="3" t="str">
        <f>"3"</f>
        <v>3</v>
      </c>
      <c r="H78" s="3" t="str">
        <f>"1"</f>
        <v>1</v>
      </c>
      <c r="I78" s="7">
        <v>-61594790.189999998</v>
      </c>
    </row>
    <row r="79" spans="1:9" x14ac:dyDescent="0.25">
      <c r="A79" s="3">
        <v>72</v>
      </c>
      <c r="B79" s="4">
        <v>45289</v>
      </c>
      <c r="C79" s="3">
        <v>15</v>
      </c>
      <c r="D79" s="5" t="str">
        <f>"1453"</f>
        <v>1453</v>
      </c>
      <c r="E79" s="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9" s="3" t="str">
        <f t="shared" si="10"/>
        <v>1</v>
      </c>
      <c r="G79" s="3" t="str">
        <f t="shared" si="10"/>
        <v>1</v>
      </c>
      <c r="H79" s="3" t="str">
        <f>"2"</f>
        <v>2</v>
      </c>
      <c r="I79" s="7">
        <v>-829540355.58000004</v>
      </c>
    </row>
    <row r="80" spans="1:9" x14ac:dyDescent="0.25">
      <c r="A80" s="3">
        <v>73</v>
      </c>
      <c r="B80" s="4">
        <v>45289</v>
      </c>
      <c r="C80" s="3">
        <v>15</v>
      </c>
      <c r="D80" s="5" t="str">
        <f>"1454"</f>
        <v>1454</v>
      </c>
      <c r="E80" s="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0" s="3" t="str">
        <f t="shared" si="10"/>
        <v>1</v>
      </c>
      <c r="G80" s="3" t="str">
        <f t="shared" si="10"/>
        <v>1</v>
      </c>
      <c r="H80" s="3" t="str">
        <f>"1"</f>
        <v>1</v>
      </c>
      <c r="I80" s="7">
        <v>151378862.75999999</v>
      </c>
    </row>
    <row r="81" spans="1:9" x14ac:dyDescent="0.25">
      <c r="A81" s="3">
        <v>74</v>
      </c>
      <c r="B81" s="4">
        <v>45289</v>
      </c>
      <c r="C81" s="3">
        <v>15</v>
      </c>
      <c r="D81" s="5" t="str">
        <f>"1454"</f>
        <v>1454</v>
      </c>
      <c r="E81" s="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1" s="3" t="str">
        <f t="shared" si="10"/>
        <v>1</v>
      </c>
      <c r="G81" s="3" t="str">
        <f t="shared" si="10"/>
        <v>1</v>
      </c>
      <c r="H81" s="3" t="str">
        <f>"2"</f>
        <v>2</v>
      </c>
      <c r="I81" s="7">
        <v>2163251666.0100002</v>
      </c>
    </row>
    <row r="82" spans="1:9" x14ac:dyDescent="0.25">
      <c r="A82" s="3">
        <v>75</v>
      </c>
      <c r="B82" s="4">
        <v>45289</v>
      </c>
      <c r="C82" s="3">
        <v>15</v>
      </c>
      <c r="D82" s="5" t="str">
        <f>"1456"</f>
        <v>1456</v>
      </c>
      <c r="E82" s="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s="3" t="str">
        <f t="shared" si="10"/>
        <v>1</v>
      </c>
      <c r="G82" s="3" t="str">
        <f t="shared" si="10"/>
        <v>1</v>
      </c>
      <c r="H82" s="3" t="str">
        <f>"2"</f>
        <v>2</v>
      </c>
      <c r="I82" s="7">
        <v>702066770.27999997</v>
      </c>
    </row>
    <row r="83" spans="1:9" x14ac:dyDescent="0.25">
      <c r="A83" s="3">
        <v>76</v>
      </c>
      <c r="B83" s="4">
        <v>45289</v>
      </c>
      <c r="C83" s="3">
        <v>15</v>
      </c>
      <c r="D83" s="5" t="str">
        <f>"1456"</f>
        <v>1456</v>
      </c>
      <c r="E83" s="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s="3" t="str">
        <f t="shared" si="10"/>
        <v>1</v>
      </c>
      <c r="G83" s="3" t="str">
        <f t="shared" si="10"/>
        <v>1</v>
      </c>
      <c r="H83" s="3" t="str">
        <f>"1"</f>
        <v>1</v>
      </c>
      <c r="I83" s="7">
        <v>707870047.49000001</v>
      </c>
    </row>
    <row r="84" spans="1:9" x14ac:dyDescent="0.25">
      <c r="A84" s="3">
        <v>77</v>
      </c>
      <c r="B84" s="4">
        <v>45289</v>
      </c>
      <c r="C84" s="3">
        <v>15</v>
      </c>
      <c r="D84" s="5" t="str">
        <f>"1457"</f>
        <v>1457</v>
      </c>
      <c r="E84" s="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4" s="3" t="str">
        <f t="shared" si="10"/>
        <v>1</v>
      </c>
      <c r="G84" s="3" t="str">
        <f t="shared" si="10"/>
        <v>1</v>
      </c>
      <c r="H84" s="3" t="str">
        <f>"1"</f>
        <v>1</v>
      </c>
      <c r="I84" s="7">
        <v>-874054398.75</v>
      </c>
    </row>
    <row r="85" spans="1:9" x14ac:dyDescent="0.25">
      <c r="A85" s="3">
        <v>78</v>
      </c>
      <c r="B85" s="4">
        <v>45289</v>
      </c>
      <c r="C85" s="3">
        <v>15</v>
      </c>
      <c r="D85" s="5" t="str">
        <f>"1457"</f>
        <v>1457</v>
      </c>
      <c r="E85" s="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5" s="3" t="str">
        <f t="shared" si="10"/>
        <v>1</v>
      </c>
      <c r="G85" s="3" t="str">
        <f t="shared" si="10"/>
        <v>1</v>
      </c>
      <c r="H85" s="3" t="str">
        <f>"2"</f>
        <v>2</v>
      </c>
      <c r="I85" s="7">
        <v>-1991378895.05</v>
      </c>
    </row>
    <row r="86" spans="1:9" x14ac:dyDescent="0.25">
      <c r="A86" s="3">
        <v>79</v>
      </c>
      <c r="B86" s="4">
        <v>45289</v>
      </c>
      <c r="C86" s="3">
        <v>15</v>
      </c>
      <c r="D86" s="5" t="str">
        <f>"1457"</f>
        <v>1457</v>
      </c>
      <c r="E86" s="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6" s="3" t="str">
        <f>"2"</f>
        <v>2</v>
      </c>
      <c r="G86" s="3" t="str">
        <f>"4"</f>
        <v>4</v>
      </c>
      <c r="H86" s="3" t="str">
        <f t="shared" ref="H86:H91" si="11">"1"</f>
        <v>1</v>
      </c>
      <c r="I86" s="7">
        <v>-220553962.66</v>
      </c>
    </row>
    <row r="87" spans="1:9" x14ac:dyDescent="0.25">
      <c r="A87" s="3">
        <v>80</v>
      </c>
      <c r="B87" s="4">
        <v>45289</v>
      </c>
      <c r="C87" s="3">
        <v>15</v>
      </c>
      <c r="D87" s="5" t="str">
        <f>"1457"</f>
        <v>1457</v>
      </c>
      <c r="E87" s="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7" s="3" t="str">
        <f>"1"</f>
        <v>1</v>
      </c>
      <c r="G87" s="3" t="str">
        <f>"3"</f>
        <v>3</v>
      </c>
      <c r="H87" s="3" t="str">
        <f t="shared" si="11"/>
        <v>1</v>
      </c>
      <c r="I87" s="7">
        <v>-9295209.8100000005</v>
      </c>
    </row>
    <row r="88" spans="1:9" x14ac:dyDescent="0.25">
      <c r="A88" s="3">
        <v>81</v>
      </c>
      <c r="B88" s="4">
        <v>45289</v>
      </c>
      <c r="C88" s="3">
        <v>15</v>
      </c>
      <c r="D88" s="5" t="str">
        <f>"1461"</f>
        <v>1461</v>
      </c>
      <c r="E88" s="6" t="str">
        <f>"Операции «обратное РЕПО» с ценными бумагами"</f>
        <v>Операции «обратное РЕПО» с ценными бумагами</v>
      </c>
      <c r="F88" s="3" t="str">
        <f>"1"</f>
        <v>1</v>
      </c>
      <c r="G88" s="3" t="str">
        <f>"5"</f>
        <v>5</v>
      </c>
      <c r="H88" s="3" t="str">
        <f t="shared" si="11"/>
        <v>1</v>
      </c>
      <c r="I88" s="7">
        <v>10002517440</v>
      </c>
    </row>
    <row r="89" spans="1:9" x14ac:dyDescent="0.25">
      <c r="A89" s="3">
        <v>82</v>
      </c>
      <c r="B89" s="4">
        <v>45289</v>
      </c>
      <c r="C89" s="3">
        <v>15</v>
      </c>
      <c r="D89" s="5" t="str">
        <f>"1476"</f>
        <v>1476</v>
      </c>
      <c r="E89" s="6" t="str">
        <f>"Прочие инвестиции"</f>
        <v>Прочие инвестиции</v>
      </c>
      <c r="F89" s="3" t="str">
        <f>"2"</f>
        <v>2</v>
      </c>
      <c r="G89" s="3" t="str">
        <f>"7"</f>
        <v>7</v>
      </c>
      <c r="H89" s="3" t="str">
        <f t="shared" si="11"/>
        <v>1</v>
      </c>
      <c r="I89" s="7">
        <v>11522203.199999999</v>
      </c>
    </row>
    <row r="90" spans="1:9" x14ac:dyDescent="0.25">
      <c r="A90" s="3">
        <v>83</v>
      </c>
      <c r="B90" s="4">
        <v>45289</v>
      </c>
      <c r="C90" s="3">
        <v>15</v>
      </c>
      <c r="D90" s="5" t="str">
        <f>"1476"</f>
        <v>1476</v>
      </c>
      <c r="E90" s="6" t="str">
        <f>"Прочие инвестиции"</f>
        <v>Прочие инвестиции</v>
      </c>
      <c r="F90" s="3" t="str">
        <f t="shared" ref="F90:F100" si="12">"1"</f>
        <v>1</v>
      </c>
      <c r="G90" s="3" t="str">
        <f>"5"</f>
        <v>5</v>
      </c>
      <c r="H90" s="3" t="str">
        <f t="shared" si="11"/>
        <v>1</v>
      </c>
      <c r="I90" s="7">
        <v>303264675</v>
      </c>
    </row>
    <row r="91" spans="1:9" x14ac:dyDescent="0.25">
      <c r="A91" s="3">
        <v>84</v>
      </c>
      <c r="B91" s="4">
        <v>45289</v>
      </c>
      <c r="C91" s="3">
        <v>15</v>
      </c>
      <c r="D91" s="5" t="str">
        <f>"1481"</f>
        <v>1481</v>
      </c>
      <c r="E91" s="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1" s="3" t="str">
        <f t="shared" si="12"/>
        <v>1</v>
      </c>
      <c r="G91" s="3" t="str">
        <f>"5"</f>
        <v>5</v>
      </c>
      <c r="H91" s="3" t="str">
        <f t="shared" si="11"/>
        <v>1</v>
      </c>
      <c r="I91" s="7">
        <v>18000000000</v>
      </c>
    </row>
    <row r="92" spans="1:9" x14ac:dyDescent="0.25">
      <c r="A92" s="3">
        <v>85</v>
      </c>
      <c r="B92" s="4">
        <v>45289</v>
      </c>
      <c r="C92" s="3">
        <v>15</v>
      </c>
      <c r="D92" s="5" t="str">
        <f>"1481"</f>
        <v>1481</v>
      </c>
      <c r="E92" s="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2" s="3" t="str">
        <f t="shared" si="12"/>
        <v>1</v>
      </c>
      <c r="G92" s="3" t="str">
        <f>"1"</f>
        <v>1</v>
      </c>
      <c r="H92" s="3" t="str">
        <f>"2"</f>
        <v>2</v>
      </c>
      <c r="I92" s="7">
        <v>120620313760</v>
      </c>
    </row>
    <row r="93" spans="1:9" x14ac:dyDescent="0.25">
      <c r="A93" s="3">
        <v>86</v>
      </c>
      <c r="B93" s="4">
        <v>45289</v>
      </c>
      <c r="C93" s="3">
        <v>15</v>
      </c>
      <c r="D93" s="5" t="str">
        <f>"1481"</f>
        <v>1481</v>
      </c>
      <c r="E93" s="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3" s="3" t="str">
        <f t="shared" si="12"/>
        <v>1</v>
      </c>
      <c r="G93" s="3" t="str">
        <f>"7"</f>
        <v>7</v>
      </c>
      <c r="H93" s="3" t="str">
        <f>"2"</f>
        <v>2</v>
      </c>
      <c r="I93" s="7">
        <v>4545600000</v>
      </c>
    </row>
    <row r="94" spans="1:9" x14ac:dyDescent="0.25">
      <c r="A94" s="3">
        <v>87</v>
      </c>
      <c r="B94" s="4">
        <v>45289</v>
      </c>
      <c r="C94" s="3">
        <v>15</v>
      </c>
      <c r="D94" s="5" t="str">
        <f>"1482"</f>
        <v>1482</v>
      </c>
      <c r="E94" s="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94" s="3" t="str">
        <f t="shared" si="12"/>
        <v>1</v>
      </c>
      <c r="G94" s="3" t="str">
        <f>"7"</f>
        <v>7</v>
      </c>
      <c r="H94" s="3" t="str">
        <f>"2"</f>
        <v>2</v>
      </c>
      <c r="I94" s="7">
        <v>-22609.81</v>
      </c>
    </row>
    <row r="95" spans="1:9" x14ac:dyDescent="0.25">
      <c r="A95" s="3">
        <v>88</v>
      </c>
      <c r="B95" s="4">
        <v>45289</v>
      </c>
      <c r="C95" s="3">
        <v>15</v>
      </c>
      <c r="D95" s="5" t="str">
        <f>"1482"</f>
        <v>1482</v>
      </c>
      <c r="E95" s="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95" s="3" t="str">
        <f t="shared" si="12"/>
        <v>1</v>
      </c>
      <c r="G95" s="3" t="str">
        <f>"5"</f>
        <v>5</v>
      </c>
      <c r="H95" s="3" t="str">
        <f>"1"</f>
        <v>1</v>
      </c>
      <c r="I95" s="7">
        <v>-203206174.94</v>
      </c>
    </row>
    <row r="96" spans="1:9" x14ac:dyDescent="0.25">
      <c r="A96" s="3">
        <v>89</v>
      </c>
      <c r="B96" s="4">
        <v>45289</v>
      </c>
      <c r="C96" s="3">
        <v>15</v>
      </c>
      <c r="D96" s="5" t="str">
        <f>"1482"</f>
        <v>1482</v>
      </c>
      <c r="E96" s="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96" s="3" t="str">
        <f t="shared" si="12"/>
        <v>1</v>
      </c>
      <c r="G96" s="3" t="str">
        <f>"1"</f>
        <v>1</v>
      </c>
      <c r="H96" s="3" t="str">
        <f>"2"</f>
        <v>2</v>
      </c>
      <c r="I96" s="7">
        <v>-53382608.189999998</v>
      </c>
    </row>
    <row r="97" spans="1:9" x14ac:dyDescent="0.25">
      <c r="A97" s="3">
        <v>90</v>
      </c>
      <c r="B97" s="4">
        <v>45289</v>
      </c>
      <c r="C97" s="3">
        <v>15</v>
      </c>
      <c r="D97" s="5" t="str">
        <f>"1483"</f>
        <v>1483</v>
      </c>
      <c r="E97" s="6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97" s="3" t="str">
        <f t="shared" si="12"/>
        <v>1</v>
      </c>
      <c r="G97" s="3" t="str">
        <f>"1"</f>
        <v>1</v>
      </c>
      <c r="H97" s="3" t="str">
        <f>"2"</f>
        <v>2</v>
      </c>
      <c r="I97" s="7">
        <v>1388499380.6199999</v>
      </c>
    </row>
    <row r="98" spans="1:9" x14ac:dyDescent="0.25">
      <c r="A98" s="3">
        <v>91</v>
      </c>
      <c r="B98" s="4">
        <v>45289</v>
      </c>
      <c r="C98" s="3">
        <v>15</v>
      </c>
      <c r="D98" s="5" t="str">
        <f>"1486"</f>
        <v>1486</v>
      </c>
      <c r="E98" s="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98" s="3" t="str">
        <f t="shared" si="12"/>
        <v>1</v>
      </c>
      <c r="G98" s="3" t="str">
        <f>"1"</f>
        <v>1</v>
      </c>
      <c r="H98" s="3" t="str">
        <f>"2"</f>
        <v>2</v>
      </c>
      <c r="I98" s="7">
        <v>-120426530.88</v>
      </c>
    </row>
    <row r="99" spans="1:9" x14ac:dyDescent="0.25">
      <c r="A99" s="3">
        <v>92</v>
      </c>
      <c r="B99" s="4">
        <v>45289</v>
      </c>
      <c r="C99" s="3">
        <v>15</v>
      </c>
      <c r="D99" s="5" t="str">
        <f>"1551"</f>
        <v>1551</v>
      </c>
      <c r="E99" s="6" t="str">
        <f>"Расчеты с другими банками"</f>
        <v>Расчеты с другими банками</v>
      </c>
      <c r="F99" s="3" t="str">
        <f t="shared" si="12"/>
        <v>1</v>
      </c>
      <c r="G99" s="3" t="str">
        <f>"4"</f>
        <v>4</v>
      </c>
      <c r="H99" s="3" t="str">
        <f>"1"</f>
        <v>1</v>
      </c>
      <c r="I99" s="7">
        <v>443749001.02999997</v>
      </c>
    </row>
    <row r="100" spans="1:9" x14ac:dyDescent="0.25">
      <c r="A100" s="3">
        <v>93</v>
      </c>
      <c r="B100" s="4">
        <v>45289</v>
      </c>
      <c r="C100" s="3">
        <v>15</v>
      </c>
      <c r="D100" s="5" t="str">
        <f>"1551"</f>
        <v>1551</v>
      </c>
      <c r="E100" s="6" t="str">
        <f>"Расчеты с другими банками"</f>
        <v>Расчеты с другими банками</v>
      </c>
      <c r="F100" s="3" t="str">
        <f t="shared" si="12"/>
        <v>1</v>
      </c>
      <c r="G100" s="3" t="str">
        <f>"4"</f>
        <v>4</v>
      </c>
      <c r="H100" s="3" t="str">
        <f>"2"</f>
        <v>2</v>
      </c>
      <c r="I100" s="7">
        <v>318192</v>
      </c>
    </row>
    <row r="101" spans="1:9" x14ac:dyDescent="0.25">
      <c r="A101" s="3">
        <v>94</v>
      </c>
      <c r="B101" s="4">
        <v>45289</v>
      </c>
      <c r="C101" s="3">
        <v>15</v>
      </c>
      <c r="D101" s="5" t="str">
        <f>"1552"</f>
        <v>1552</v>
      </c>
      <c r="E101" s="6" t="str">
        <f>"Расчеты с клиентами"</f>
        <v>Расчеты с клиентами</v>
      </c>
      <c r="F101" s="3" t="str">
        <f>"2"</f>
        <v>2</v>
      </c>
      <c r="G101" s="3" t="str">
        <f>"5"</f>
        <v>5</v>
      </c>
      <c r="H101" s="3" t="str">
        <f>"1"</f>
        <v>1</v>
      </c>
      <c r="I101" s="7">
        <v>247572620.78</v>
      </c>
    </row>
    <row r="102" spans="1:9" x14ac:dyDescent="0.25">
      <c r="A102" s="3">
        <v>95</v>
      </c>
      <c r="B102" s="4">
        <v>45289</v>
      </c>
      <c r="C102" s="3">
        <v>15</v>
      </c>
      <c r="D102" s="5" t="str">
        <f>"1552"</f>
        <v>1552</v>
      </c>
      <c r="E102" s="6" t="str">
        <f>"Расчеты с клиентами"</f>
        <v>Расчеты с клиентами</v>
      </c>
      <c r="F102" s="3" t="str">
        <f>"2"</f>
        <v>2</v>
      </c>
      <c r="G102" s="3" t="str">
        <f>"5"</f>
        <v>5</v>
      </c>
      <c r="H102" s="3" t="str">
        <f>"2"</f>
        <v>2</v>
      </c>
      <c r="I102" s="7">
        <v>21615116.82</v>
      </c>
    </row>
    <row r="103" spans="1:9" x14ac:dyDescent="0.25">
      <c r="A103" s="3">
        <v>96</v>
      </c>
      <c r="B103" s="4">
        <v>45289</v>
      </c>
      <c r="C103" s="3">
        <v>15</v>
      </c>
      <c r="D103" s="5" t="str">
        <f>"1602"</f>
        <v>1602</v>
      </c>
      <c r="E103" s="6" t="str">
        <f>"Прочие запасы"</f>
        <v>Прочие запасы</v>
      </c>
      <c r="F103" s="3">
        <v>0</v>
      </c>
      <c r="G103" s="3">
        <v>0</v>
      </c>
      <c r="H103" s="3">
        <v>0</v>
      </c>
      <c r="I103" s="7">
        <v>120330574.23999999</v>
      </c>
    </row>
    <row r="104" spans="1:9" x14ac:dyDescent="0.25">
      <c r="A104" s="3">
        <v>97</v>
      </c>
      <c r="B104" s="4">
        <v>45289</v>
      </c>
      <c r="C104" s="3">
        <v>15</v>
      </c>
      <c r="D104" s="5" t="str">
        <f>"1651"</f>
        <v>1651</v>
      </c>
      <c r="E104" s="6" t="str">
        <f>"Строящиеся (устанавливаемые) основные средства"</f>
        <v>Строящиеся (устанавливаемые) основные средства</v>
      </c>
      <c r="F104" s="3">
        <v>0</v>
      </c>
      <c r="G104" s="3">
        <v>0</v>
      </c>
      <c r="H104" s="3">
        <v>0</v>
      </c>
      <c r="I104" s="7">
        <v>3162500</v>
      </c>
    </row>
    <row r="105" spans="1:9" x14ac:dyDescent="0.25">
      <c r="A105" s="3">
        <v>98</v>
      </c>
      <c r="B105" s="4">
        <v>45289</v>
      </c>
      <c r="C105" s="3">
        <v>15</v>
      </c>
      <c r="D105" s="5" t="str">
        <f>"1652"</f>
        <v>1652</v>
      </c>
      <c r="E105" s="6" t="str">
        <f>"Земля, здания и сооружения"</f>
        <v>Земля, здания и сооружения</v>
      </c>
      <c r="F105" s="3">
        <v>0</v>
      </c>
      <c r="G105" s="3">
        <v>0</v>
      </c>
      <c r="H105" s="3">
        <v>0</v>
      </c>
      <c r="I105" s="7">
        <v>5189200000</v>
      </c>
    </row>
    <row r="106" spans="1:9" x14ac:dyDescent="0.25">
      <c r="A106" s="3">
        <v>99</v>
      </c>
      <c r="B106" s="4">
        <v>45289</v>
      </c>
      <c r="C106" s="3">
        <v>15</v>
      </c>
      <c r="D106" s="5" t="str">
        <f>"1653"</f>
        <v>1653</v>
      </c>
      <c r="E106" s="6" t="str">
        <f>"Компьютерное оборудование"</f>
        <v>Компьютерное оборудование</v>
      </c>
      <c r="F106" s="3">
        <v>0</v>
      </c>
      <c r="G106" s="3">
        <v>0</v>
      </c>
      <c r="H106" s="3">
        <v>0</v>
      </c>
      <c r="I106" s="7">
        <v>2381562466.27</v>
      </c>
    </row>
    <row r="107" spans="1:9" x14ac:dyDescent="0.25">
      <c r="A107" s="3">
        <v>100</v>
      </c>
      <c r="B107" s="4">
        <v>45289</v>
      </c>
      <c r="C107" s="3">
        <v>15</v>
      </c>
      <c r="D107" s="5" t="str">
        <f>"1654"</f>
        <v>1654</v>
      </c>
      <c r="E107" s="6" t="str">
        <f>"Прочие основные средства"</f>
        <v>Прочие основные средства</v>
      </c>
      <c r="F107" s="3">
        <v>0</v>
      </c>
      <c r="G107" s="3">
        <v>0</v>
      </c>
      <c r="H107" s="3">
        <v>0</v>
      </c>
      <c r="I107" s="7">
        <v>1280580421.6500001</v>
      </c>
    </row>
    <row r="108" spans="1:9" x14ac:dyDescent="0.25">
      <c r="A108" s="3">
        <v>101</v>
      </c>
      <c r="B108" s="4">
        <v>45289</v>
      </c>
      <c r="C108" s="3">
        <v>15</v>
      </c>
      <c r="D108" s="5" t="str">
        <f>"1655"</f>
        <v>1655</v>
      </c>
      <c r="E108" s="6" t="str">
        <f>"Активы в форме права пользования"</f>
        <v>Активы в форме права пользования</v>
      </c>
      <c r="F108" s="3">
        <v>0</v>
      </c>
      <c r="G108" s="3">
        <v>0</v>
      </c>
      <c r="H108" s="3">
        <v>0</v>
      </c>
      <c r="I108" s="7">
        <v>1623206884.9000001</v>
      </c>
    </row>
    <row r="109" spans="1:9" x14ac:dyDescent="0.25">
      <c r="A109" s="3">
        <v>102</v>
      </c>
      <c r="B109" s="4">
        <v>45289</v>
      </c>
      <c r="C109" s="3">
        <v>15</v>
      </c>
      <c r="D109" s="5" t="str">
        <f>"1657"</f>
        <v>1657</v>
      </c>
      <c r="E109" s="6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9" s="3">
        <v>0</v>
      </c>
      <c r="G109" s="3">
        <v>0</v>
      </c>
      <c r="H109" s="3">
        <v>0</v>
      </c>
      <c r="I109" s="7">
        <v>605475538.26999998</v>
      </c>
    </row>
    <row r="110" spans="1:9" x14ac:dyDescent="0.25">
      <c r="A110" s="3">
        <v>103</v>
      </c>
      <c r="B110" s="4">
        <v>45289</v>
      </c>
      <c r="C110" s="3">
        <v>15</v>
      </c>
      <c r="D110" s="5" t="str">
        <f>"1658"</f>
        <v>1658</v>
      </c>
      <c r="E110" s="6" t="str">
        <f>"Транспортные средства"</f>
        <v>Транспортные средства</v>
      </c>
      <c r="F110" s="3">
        <v>0</v>
      </c>
      <c r="G110" s="3">
        <v>0</v>
      </c>
      <c r="H110" s="3">
        <v>0</v>
      </c>
      <c r="I110" s="7">
        <v>375980301</v>
      </c>
    </row>
    <row r="111" spans="1:9" x14ac:dyDescent="0.25">
      <c r="A111" s="3">
        <v>104</v>
      </c>
      <c r="B111" s="4">
        <v>45289</v>
      </c>
      <c r="C111" s="3">
        <v>15</v>
      </c>
      <c r="D111" s="5" t="str">
        <f>"1659"</f>
        <v>1659</v>
      </c>
      <c r="E111" s="6" t="str">
        <f>"Нематериальные активы"</f>
        <v>Нематериальные активы</v>
      </c>
      <c r="F111" s="3">
        <v>0</v>
      </c>
      <c r="G111" s="3">
        <v>0</v>
      </c>
      <c r="H111" s="3">
        <v>0</v>
      </c>
      <c r="I111" s="7">
        <v>5060867367.8299999</v>
      </c>
    </row>
    <row r="112" spans="1:9" x14ac:dyDescent="0.25">
      <c r="A112" s="3">
        <v>105</v>
      </c>
      <c r="B112" s="4">
        <v>45289</v>
      </c>
      <c r="C112" s="3">
        <v>15</v>
      </c>
      <c r="D112" s="5" t="str">
        <f>"1692"</f>
        <v>1692</v>
      </c>
      <c r="E112" s="6" t="str">
        <f>"Начисленная амортизация по зданиям и сооружениям"</f>
        <v>Начисленная амортизация по зданиям и сооружениям</v>
      </c>
      <c r="F112" s="3">
        <v>0</v>
      </c>
      <c r="G112" s="3">
        <v>0</v>
      </c>
      <c r="H112" s="3">
        <v>0</v>
      </c>
      <c r="I112" s="7">
        <v>-4614173.29</v>
      </c>
    </row>
    <row r="113" spans="1:9" x14ac:dyDescent="0.25">
      <c r="A113" s="3">
        <v>106</v>
      </c>
      <c r="B113" s="4">
        <v>45289</v>
      </c>
      <c r="C113" s="3">
        <v>15</v>
      </c>
      <c r="D113" s="5" t="str">
        <f>"1693"</f>
        <v>1693</v>
      </c>
      <c r="E113" s="6" t="str">
        <f>"Начисленная амортизация по компьютерному оборудованию"</f>
        <v>Начисленная амортизация по компьютерному оборудованию</v>
      </c>
      <c r="F113" s="3">
        <v>0</v>
      </c>
      <c r="G113" s="3">
        <v>0</v>
      </c>
      <c r="H113" s="3">
        <v>0</v>
      </c>
      <c r="I113" s="7">
        <v>-1575495010.3199999</v>
      </c>
    </row>
    <row r="114" spans="1:9" x14ac:dyDescent="0.25">
      <c r="A114" s="3">
        <v>107</v>
      </c>
      <c r="B114" s="4">
        <v>45289</v>
      </c>
      <c r="C114" s="3">
        <v>15</v>
      </c>
      <c r="D114" s="5" t="str">
        <f>"1694"</f>
        <v>1694</v>
      </c>
      <c r="E114" s="6" t="str">
        <f>"Начисленная амортизация по прочим основным средствам"</f>
        <v>Начисленная амортизация по прочим основным средствам</v>
      </c>
      <c r="F114" s="3">
        <v>0</v>
      </c>
      <c r="G114" s="3">
        <v>0</v>
      </c>
      <c r="H114" s="3">
        <v>0</v>
      </c>
      <c r="I114" s="7">
        <v>-758187151.63</v>
      </c>
    </row>
    <row r="115" spans="1:9" x14ac:dyDescent="0.25">
      <c r="A115" s="3">
        <v>108</v>
      </c>
      <c r="B115" s="4">
        <v>45289</v>
      </c>
      <c r="C115" s="3">
        <v>15</v>
      </c>
      <c r="D115" s="5" t="str">
        <f>"1695"</f>
        <v>1695</v>
      </c>
      <c r="E115" s="6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15" s="3">
        <v>0</v>
      </c>
      <c r="G115" s="3">
        <v>0</v>
      </c>
      <c r="H115" s="3">
        <v>0</v>
      </c>
      <c r="I115" s="7">
        <v>-1105489295.22</v>
      </c>
    </row>
    <row r="116" spans="1:9" x14ac:dyDescent="0.25">
      <c r="A116" s="3">
        <v>109</v>
      </c>
      <c r="B116" s="4">
        <v>45289</v>
      </c>
      <c r="C116" s="3">
        <v>15</v>
      </c>
      <c r="D116" s="5" t="str">
        <f>"1697"</f>
        <v>1697</v>
      </c>
      <c r="E116" s="6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6" s="3">
        <v>0</v>
      </c>
      <c r="G116" s="3">
        <v>0</v>
      </c>
      <c r="H116" s="3">
        <v>0</v>
      </c>
      <c r="I116" s="7">
        <v>-460293115.32999998</v>
      </c>
    </row>
    <row r="117" spans="1:9" x14ac:dyDescent="0.25">
      <c r="A117" s="3">
        <v>110</v>
      </c>
      <c r="B117" s="4">
        <v>45289</v>
      </c>
      <c r="C117" s="3">
        <v>15</v>
      </c>
      <c r="D117" s="5" t="str">
        <f>"1698"</f>
        <v>1698</v>
      </c>
      <c r="E117" s="6" t="str">
        <f>"Начисленная амортизация по транспортным средствам"</f>
        <v>Начисленная амортизация по транспортным средствам</v>
      </c>
      <c r="F117" s="3">
        <v>0</v>
      </c>
      <c r="G117" s="3">
        <v>0</v>
      </c>
      <c r="H117" s="3">
        <v>0</v>
      </c>
      <c r="I117" s="7">
        <v>-218564526.36000001</v>
      </c>
    </row>
    <row r="118" spans="1:9" x14ac:dyDescent="0.25">
      <c r="A118" s="3">
        <v>111</v>
      </c>
      <c r="B118" s="4">
        <v>45289</v>
      </c>
      <c r="C118" s="3">
        <v>15</v>
      </c>
      <c r="D118" s="5" t="str">
        <f>"1699"</f>
        <v>1699</v>
      </c>
      <c r="E118" s="6" t="str">
        <f>"Начисленная амортизация по нематериальным активам"</f>
        <v>Начисленная амортизация по нематериальным активам</v>
      </c>
      <c r="F118" s="3">
        <v>0</v>
      </c>
      <c r="G118" s="3">
        <v>0</v>
      </c>
      <c r="H118" s="3">
        <v>0</v>
      </c>
      <c r="I118" s="7">
        <v>-3465724167.0700002</v>
      </c>
    </row>
    <row r="119" spans="1:9" x14ac:dyDescent="0.25">
      <c r="A119" s="3">
        <v>112</v>
      </c>
      <c r="B119" s="4">
        <v>45289</v>
      </c>
      <c r="C119" s="3">
        <v>15</v>
      </c>
      <c r="D119" s="5" t="str">
        <f>"1705"</f>
        <v>1705</v>
      </c>
      <c r="E119" s="6" t="str">
        <f>"Начисленные доходы по корреспондентским счетам"</f>
        <v>Начисленные доходы по корреспондентским счетам</v>
      </c>
      <c r="F119" s="3" t="str">
        <f>"2"</f>
        <v>2</v>
      </c>
      <c r="G119" s="3" t="str">
        <f>"4"</f>
        <v>4</v>
      </c>
      <c r="H119" s="3" t="str">
        <f>"2"</f>
        <v>2</v>
      </c>
      <c r="I119" s="7">
        <v>9213162.9900000002</v>
      </c>
    </row>
    <row r="120" spans="1:9" x14ac:dyDescent="0.25">
      <c r="A120" s="3">
        <v>113</v>
      </c>
      <c r="B120" s="4">
        <v>45289</v>
      </c>
      <c r="C120" s="3">
        <v>15</v>
      </c>
      <c r="D120" s="5" t="str">
        <f>"1710"</f>
        <v>1710</v>
      </c>
      <c r="E120" s="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0" s="3" t="str">
        <f>"1"</f>
        <v>1</v>
      </c>
      <c r="G120" s="3" t="str">
        <f>"3"</f>
        <v>3</v>
      </c>
      <c r="H120" s="3" t="str">
        <f>"2"</f>
        <v>2</v>
      </c>
      <c r="I120" s="7">
        <v>92699939.030000001</v>
      </c>
    </row>
    <row r="121" spans="1:9" x14ac:dyDescent="0.25">
      <c r="A121" s="3">
        <v>114</v>
      </c>
      <c r="B121" s="4">
        <v>45289</v>
      </c>
      <c r="C121" s="3">
        <v>15</v>
      </c>
      <c r="D121" s="5" t="str">
        <f>"1725"</f>
        <v>1725</v>
      </c>
      <c r="E121" s="6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21" s="3" t="str">
        <f>"2"</f>
        <v>2</v>
      </c>
      <c r="G121" s="3" t="str">
        <f>"4"</f>
        <v>4</v>
      </c>
      <c r="H121" s="3" t="str">
        <f>"3"</f>
        <v>3</v>
      </c>
      <c r="I121" s="7">
        <v>102724931.48999999</v>
      </c>
    </row>
    <row r="122" spans="1:9" x14ac:dyDescent="0.25">
      <c r="A122" s="3">
        <v>115</v>
      </c>
      <c r="B122" s="4">
        <v>45289</v>
      </c>
      <c r="C122" s="3">
        <v>15</v>
      </c>
      <c r="D122" s="5" t="str">
        <f>"1728"</f>
        <v>1728</v>
      </c>
      <c r="E122" s="6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22" s="3" t="str">
        <f>"2"</f>
        <v>2</v>
      </c>
      <c r="G122" s="3" t="str">
        <f>"5"</f>
        <v>5</v>
      </c>
      <c r="H122" s="3" t="str">
        <f>"2"</f>
        <v>2</v>
      </c>
      <c r="I122" s="7">
        <v>22074251.809999999</v>
      </c>
    </row>
    <row r="123" spans="1:9" x14ac:dyDescent="0.25">
      <c r="A123" s="3">
        <v>116</v>
      </c>
      <c r="B123" s="4">
        <v>45289</v>
      </c>
      <c r="C123" s="3">
        <v>15</v>
      </c>
      <c r="D123" s="5" t="str">
        <f>"1728"</f>
        <v>1728</v>
      </c>
      <c r="E123" s="6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23" s="3" t="str">
        <f>"2"</f>
        <v>2</v>
      </c>
      <c r="G123" s="3" t="str">
        <f>"4"</f>
        <v>4</v>
      </c>
      <c r="H123" s="3" t="str">
        <f>"2"</f>
        <v>2</v>
      </c>
      <c r="I123" s="7">
        <v>333824.32</v>
      </c>
    </row>
    <row r="124" spans="1:9" x14ac:dyDescent="0.25">
      <c r="A124" s="3">
        <v>117</v>
      </c>
      <c r="B124" s="4">
        <v>45289</v>
      </c>
      <c r="C124" s="3">
        <v>15</v>
      </c>
      <c r="D124" s="5" t="str">
        <f>"1730"</f>
        <v>1730</v>
      </c>
      <c r="E124" s="6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24" s="3" t="str">
        <f>"2"</f>
        <v>2</v>
      </c>
      <c r="G124" s="3" t="str">
        <f>"3"</f>
        <v>3</v>
      </c>
      <c r="H124" s="3" t="str">
        <f>"2"</f>
        <v>2</v>
      </c>
      <c r="I124" s="7">
        <v>58149588</v>
      </c>
    </row>
    <row r="125" spans="1:9" x14ac:dyDescent="0.25">
      <c r="A125" s="3">
        <v>118</v>
      </c>
      <c r="B125" s="4">
        <v>45289</v>
      </c>
      <c r="C125" s="3">
        <v>15</v>
      </c>
      <c r="D125" s="5" t="str">
        <f>"1730"</f>
        <v>1730</v>
      </c>
      <c r="E125" s="6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25" s="3" t="str">
        <f>"1"</f>
        <v>1</v>
      </c>
      <c r="G125" s="3" t="str">
        <f>"4"</f>
        <v>4</v>
      </c>
      <c r="H125" s="3" t="str">
        <f>"1"</f>
        <v>1</v>
      </c>
      <c r="I125" s="7">
        <v>5750000</v>
      </c>
    </row>
    <row r="126" spans="1:9" x14ac:dyDescent="0.25">
      <c r="A126" s="3">
        <v>119</v>
      </c>
      <c r="B126" s="4">
        <v>45289</v>
      </c>
      <c r="C126" s="3">
        <v>15</v>
      </c>
      <c r="D126" s="5" t="str">
        <f>"1730"</f>
        <v>1730</v>
      </c>
      <c r="E126" s="6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26" s="3" t="str">
        <f>"2"</f>
        <v>2</v>
      </c>
      <c r="G126" s="3" t="str">
        <f>"4"</f>
        <v>4</v>
      </c>
      <c r="H126" s="3" t="str">
        <f>"2"</f>
        <v>2</v>
      </c>
      <c r="I126" s="7">
        <v>39398941.229999997</v>
      </c>
    </row>
    <row r="127" spans="1:9" x14ac:dyDescent="0.25">
      <c r="A127" s="3">
        <v>120</v>
      </c>
      <c r="B127" s="4">
        <v>45289</v>
      </c>
      <c r="C127" s="3">
        <v>15</v>
      </c>
      <c r="D127" s="5" t="str">
        <f t="shared" ref="D127:D132" si="13">"1740"</f>
        <v>1740</v>
      </c>
      <c r="E127" s="6" t="str">
        <f t="shared" ref="E127:E132" si="14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7" s="3" t="str">
        <f>"2"</f>
        <v>2</v>
      </c>
      <c r="G127" s="3" t="str">
        <f>"6"</f>
        <v>6</v>
      </c>
      <c r="H127" s="3" t="str">
        <f>"2"</f>
        <v>2</v>
      </c>
      <c r="I127" s="7">
        <v>65579780.310000002</v>
      </c>
    </row>
    <row r="128" spans="1:9" x14ac:dyDescent="0.25">
      <c r="A128" s="3">
        <v>121</v>
      </c>
      <c r="B128" s="4">
        <v>45289</v>
      </c>
      <c r="C128" s="3">
        <v>15</v>
      </c>
      <c r="D128" s="5" t="str">
        <f t="shared" si="13"/>
        <v>1740</v>
      </c>
      <c r="E128" s="6" t="str">
        <f t="shared" si="14"/>
        <v>Начисленные доходы по займам и финансовому лизингу, предоставленным клиентам</v>
      </c>
      <c r="F128" s="3" t="str">
        <f>"2"</f>
        <v>2</v>
      </c>
      <c r="G128" s="3" t="str">
        <f>"9"</f>
        <v>9</v>
      </c>
      <c r="H128" s="3" t="str">
        <f>"1"</f>
        <v>1</v>
      </c>
      <c r="I128" s="7">
        <v>2134689.81</v>
      </c>
    </row>
    <row r="129" spans="1:9" x14ac:dyDescent="0.25">
      <c r="A129" s="3">
        <v>122</v>
      </c>
      <c r="B129" s="4">
        <v>45289</v>
      </c>
      <c r="C129" s="3">
        <v>15</v>
      </c>
      <c r="D129" s="5" t="str">
        <f t="shared" si="13"/>
        <v>1740</v>
      </c>
      <c r="E129" s="6" t="str">
        <f t="shared" si="14"/>
        <v>Начисленные доходы по займам и финансовому лизингу, предоставленным клиентам</v>
      </c>
      <c r="F129" s="3" t="str">
        <f>"1"</f>
        <v>1</v>
      </c>
      <c r="G129" s="3" t="str">
        <f>"9"</f>
        <v>9</v>
      </c>
      <c r="H129" s="3" t="str">
        <f>"1"</f>
        <v>1</v>
      </c>
      <c r="I129" s="7">
        <v>2323258928.8899999</v>
      </c>
    </row>
    <row r="130" spans="1:9" x14ac:dyDescent="0.25">
      <c r="A130" s="3">
        <v>123</v>
      </c>
      <c r="B130" s="4">
        <v>45289</v>
      </c>
      <c r="C130" s="3">
        <v>15</v>
      </c>
      <c r="D130" s="5" t="str">
        <f t="shared" si="13"/>
        <v>1740</v>
      </c>
      <c r="E130" s="6" t="str">
        <f t="shared" si="14"/>
        <v>Начисленные доходы по займам и финансовому лизингу, предоставленным клиентам</v>
      </c>
      <c r="F130" s="3" t="str">
        <f>"1"</f>
        <v>1</v>
      </c>
      <c r="G130" s="3" t="str">
        <f>"5"</f>
        <v>5</v>
      </c>
      <c r="H130" s="3" t="str">
        <f>"1"</f>
        <v>1</v>
      </c>
      <c r="I130" s="7">
        <v>321372056.5</v>
      </c>
    </row>
    <row r="131" spans="1:9" x14ac:dyDescent="0.25">
      <c r="A131" s="3">
        <v>124</v>
      </c>
      <c r="B131" s="4">
        <v>45289</v>
      </c>
      <c r="C131" s="3">
        <v>15</v>
      </c>
      <c r="D131" s="5" t="str">
        <f t="shared" si="13"/>
        <v>1740</v>
      </c>
      <c r="E131" s="6" t="str">
        <f t="shared" si="14"/>
        <v>Начисленные доходы по займам и финансовому лизингу, предоставленным клиентам</v>
      </c>
      <c r="F131" s="3" t="str">
        <f>"1"</f>
        <v>1</v>
      </c>
      <c r="G131" s="3" t="str">
        <f>"7"</f>
        <v>7</v>
      </c>
      <c r="H131" s="3" t="str">
        <f>"1"</f>
        <v>1</v>
      </c>
      <c r="I131" s="7">
        <v>623039482.16999996</v>
      </c>
    </row>
    <row r="132" spans="1:9" x14ac:dyDescent="0.25">
      <c r="A132" s="3">
        <v>125</v>
      </c>
      <c r="B132" s="4">
        <v>45289</v>
      </c>
      <c r="C132" s="3">
        <v>15</v>
      </c>
      <c r="D132" s="5" t="str">
        <f t="shared" si="13"/>
        <v>1740</v>
      </c>
      <c r="E132" s="6" t="str">
        <f t="shared" si="14"/>
        <v>Начисленные доходы по займам и финансовому лизингу, предоставленным клиентам</v>
      </c>
      <c r="F132" s="3" t="str">
        <f>"1"</f>
        <v>1</v>
      </c>
      <c r="G132" s="3" t="str">
        <f>"7"</f>
        <v>7</v>
      </c>
      <c r="H132" s="3" t="str">
        <f>"2"</f>
        <v>2</v>
      </c>
      <c r="I132" s="7">
        <v>131098876.88</v>
      </c>
    </row>
    <row r="133" spans="1:9" x14ac:dyDescent="0.25">
      <c r="A133" s="3">
        <v>126</v>
      </c>
      <c r="B133" s="4">
        <v>45289</v>
      </c>
      <c r="C133" s="3">
        <v>15</v>
      </c>
      <c r="D133" s="5" t="str">
        <f>"1741"</f>
        <v>1741</v>
      </c>
      <c r="E133" s="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3" s="3" t="str">
        <f>"1"</f>
        <v>1</v>
      </c>
      <c r="G133" s="3" t="str">
        <f>"9"</f>
        <v>9</v>
      </c>
      <c r="H133" s="3" t="str">
        <f>"1"</f>
        <v>1</v>
      </c>
      <c r="I133" s="7">
        <v>396872429.24000001</v>
      </c>
    </row>
    <row r="134" spans="1:9" x14ac:dyDescent="0.25">
      <c r="A134" s="3">
        <v>127</v>
      </c>
      <c r="B134" s="4">
        <v>45289</v>
      </c>
      <c r="C134" s="3">
        <v>15</v>
      </c>
      <c r="D134" s="5" t="str">
        <f>"1741"</f>
        <v>1741</v>
      </c>
      <c r="E134" s="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4" s="3" t="str">
        <f>"2"</f>
        <v>2</v>
      </c>
      <c r="G134" s="3" t="str">
        <f>"9"</f>
        <v>9</v>
      </c>
      <c r="H134" s="3" t="str">
        <f>"1"</f>
        <v>1</v>
      </c>
      <c r="I134" s="7">
        <v>3912425.04</v>
      </c>
    </row>
    <row r="135" spans="1:9" x14ac:dyDescent="0.25">
      <c r="A135" s="3">
        <v>128</v>
      </c>
      <c r="B135" s="4">
        <v>45289</v>
      </c>
      <c r="C135" s="3">
        <v>15</v>
      </c>
      <c r="D135" s="5" t="str">
        <f>"1745"</f>
        <v>1745</v>
      </c>
      <c r="E135" s="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5" s="3" t="str">
        <f>"1"</f>
        <v>1</v>
      </c>
      <c r="G135" s="3" t="str">
        <f>"7"</f>
        <v>7</v>
      </c>
      <c r="H135" s="3" t="str">
        <f>"2"</f>
        <v>2</v>
      </c>
      <c r="I135" s="7">
        <v>41036667.68</v>
      </c>
    </row>
    <row r="136" spans="1:9" x14ac:dyDescent="0.25">
      <c r="A136" s="3">
        <v>129</v>
      </c>
      <c r="B136" s="4">
        <v>45289</v>
      </c>
      <c r="C136" s="3">
        <v>15</v>
      </c>
      <c r="D136" s="5" t="str">
        <f>"1745"</f>
        <v>1745</v>
      </c>
      <c r="E136" s="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6" s="3" t="str">
        <f>"1"</f>
        <v>1</v>
      </c>
      <c r="G136" s="3" t="str">
        <f>"5"</f>
        <v>5</v>
      </c>
      <c r="H136" s="3" t="str">
        <f>"1"</f>
        <v>1</v>
      </c>
      <c r="I136" s="7">
        <v>1338472222.22</v>
      </c>
    </row>
    <row r="137" spans="1:9" x14ac:dyDescent="0.25">
      <c r="A137" s="3">
        <v>130</v>
      </c>
      <c r="B137" s="4">
        <v>45289</v>
      </c>
      <c r="C137" s="3">
        <v>15</v>
      </c>
      <c r="D137" s="5" t="str">
        <f>"1745"</f>
        <v>1745</v>
      </c>
      <c r="E137" s="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7" s="3" t="str">
        <f>"1"</f>
        <v>1</v>
      </c>
      <c r="G137" s="3" t="str">
        <f>"1"</f>
        <v>1</v>
      </c>
      <c r="H137" s="3" t="str">
        <f>"2"</f>
        <v>2</v>
      </c>
      <c r="I137" s="7">
        <v>1694524317.52</v>
      </c>
    </row>
    <row r="138" spans="1:9" x14ac:dyDescent="0.25">
      <c r="A138" s="3">
        <v>131</v>
      </c>
      <c r="B138" s="4">
        <v>45289</v>
      </c>
      <c r="C138" s="3">
        <v>15</v>
      </c>
      <c r="D138" s="5" t="str">
        <f>"1746"</f>
        <v>1746</v>
      </c>
      <c r="E138" s="6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8" s="3" t="str">
        <f>"1"</f>
        <v>1</v>
      </c>
      <c r="G138" s="3" t="str">
        <f>"1"</f>
        <v>1</v>
      </c>
      <c r="H138" s="3" t="str">
        <f>"2"</f>
        <v>2</v>
      </c>
      <c r="I138" s="7">
        <v>974257039.58000004</v>
      </c>
    </row>
    <row r="139" spans="1:9" x14ac:dyDescent="0.25">
      <c r="A139" s="3">
        <v>132</v>
      </c>
      <c r="B139" s="4">
        <v>45289</v>
      </c>
      <c r="C139" s="3">
        <v>15</v>
      </c>
      <c r="D139" s="5" t="str">
        <f>"1746"</f>
        <v>1746</v>
      </c>
      <c r="E139" s="6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9" s="3" t="str">
        <f>"1"</f>
        <v>1</v>
      </c>
      <c r="G139" s="3" t="str">
        <f>"1"</f>
        <v>1</v>
      </c>
      <c r="H139" s="3" t="str">
        <f t="shared" ref="H139:H154" si="15">"1"</f>
        <v>1</v>
      </c>
      <c r="I139" s="7">
        <v>3349945119.5999999</v>
      </c>
    </row>
    <row r="140" spans="1:9" x14ac:dyDescent="0.25">
      <c r="A140" s="3">
        <v>133</v>
      </c>
      <c r="B140" s="4">
        <v>45289</v>
      </c>
      <c r="C140" s="3">
        <v>15</v>
      </c>
      <c r="D140" s="5" t="str">
        <f>"1746"</f>
        <v>1746</v>
      </c>
      <c r="E140" s="6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40" s="3" t="str">
        <f>"2"</f>
        <v>2</v>
      </c>
      <c r="G140" s="3" t="str">
        <f>"4"</f>
        <v>4</v>
      </c>
      <c r="H140" s="3" t="str">
        <f t="shared" si="15"/>
        <v>1</v>
      </c>
      <c r="I140" s="7">
        <v>27982465.809999999</v>
      </c>
    </row>
    <row r="141" spans="1:9" x14ac:dyDescent="0.25">
      <c r="A141" s="3">
        <v>134</v>
      </c>
      <c r="B141" s="4">
        <v>45289</v>
      </c>
      <c r="C141" s="3">
        <v>15</v>
      </c>
      <c r="D141" s="5" t="str">
        <f>"1748"</f>
        <v>1748</v>
      </c>
      <c r="E141" s="6" t="s">
        <v>9</v>
      </c>
      <c r="F141" s="3" t="str">
        <f>"1"</f>
        <v>1</v>
      </c>
      <c r="G141" s="3" t="str">
        <f>"5"</f>
        <v>5</v>
      </c>
      <c r="H141" s="3" t="str">
        <f t="shared" si="15"/>
        <v>1</v>
      </c>
      <c r="I141" s="7">
        <v>8678348.5600000005</v>
      </c>
    </row>
    <row r="142" spans="1:9" x14ac:dyDescent="0.25">
      <c r="A142" s="3">
        <v>135</v>
      </c>
      <c r="B142" s="4">
        <v>45289</v>
      </c>
      <c r="C142" s="3">
        <v>15</v>
      </c>
      <c r="D142" s="5" t="str">
        <f>"1793"</f>
        <v>1793</v>
      </c>
      <c r="E142" s="6" t="str">
        <f>"Расходы будущих периодов"</f>
        <v>Расходы будущих периодов</v>
      </c>
      <c r="F142" s="3" t="str">
        <f>"1"</f>
        <v>1</v>
      </c>
      <c r="G142" s="3" t="str">
        <f>"7"</f>
        <v>7</v>
      </c>
      <c r="H142" s="3" t="str">
        <f t="shared" si="15"/>
        <v>1</v>
      </c>
      <c r="I142" s="7">
        <v>527116203.74000001</v>
      </c>
    </row>
    <row r="143" spans="1:9" x14ac:dyDescent="0.25">
      <c r="A143" s="3">
        <v>136</v>
      </c>
      <c r="B143" s="4">
        <v>45289</v>
      </c>
      <c r="C143" s="3">
        <v>15</v>
      </c>
      <c r="D143" s="5" t="str">
        <f>"1793"</f>
        <v>1793</v>
      </c>
      <c r="E143" s="6" t="str">
        <f>"Расходы будущих периодов"</f>
        <v>Расходы будущих периодов</v>
      </c>
      <c r="F143" s="3" t="str">
        <f>"1"</f>
        <v>1</v>
      </c>
      <c r="G143" s="3" t="str">
        <f>"6"</f>
        <v>6</v>
      </c>
      <c r="H143" s="3" t="str">
        <f t="shared" si="15"/>
        <v>1</v>
      </c>
      <c r="I143" s="7">
        <v>368386</v>
      </c>
    </row>
    <row r="144" spans="1:9" x14ac:dyDescent="0.25">
      <c r="A144" s="3">
        <v>137</v>
      </c>
      <c r="B144" s="4">
        <v>45289</v>
      </c>
      <c r="C144" s="3">
        <v>15</v>
      </c>
      <c r="D144" s="5" t="str">
        <f>"1793"</f>
        <v>1793</v>
      </c>
      <c r="E144" s="6" t="str">
        <f>"Расходы будущих периодов"</f>
        <v>Расходы будущих периодов</v>
      </c>
      <c r="F144" s="3" t="str">
        <f>"1"</f>
        <v>1</v>
      </c>
      <c r="G144" s="3" t="str">
        <f>"9"</f>
        <v>9</v>
      </c>
      <c r="H144" s="3" t="str">
        <f t="shared" si="15"/>
        <v>1</v>
      </c>
      <c r="I144" s="7">
        <v>572195.55000000005</v>
      </c>
    </row>
    <row r="145" spans="1:9" x14ac:dyDescent="0.25">
      <c r="A145" s="3">
        <v>138</v>
      </c>
      <c r="B145" s="4">
        <v>45289</v>
      </c>
      <c r="C145" s="3">
        <v>15</v>
      </c>
      <c r="D145" s="5" t="str">
        <f>"1793"</f>
        <v>1793</v>
      </c>
      <c r="E145" s="6" t="str">
        <f>"Расходы будущих периодов"</f>
        <v>Расходы будущих периодов</v>
      </c>
      <c r="F145" s="3" t="str">
        <f>"1"</f>
        <v>1</v>
      </c>
      <c r="G145" s="3" t="str">
        <f>"5"</f>
        <v>5</v>
      </c>
      <c r="H145" s="3" t="str">
        <f t="shared" si="15"/>
        <v>1</v>
      </c>
      <c r="I145" s="7">
        <v>9068468.5800000001</v>
      </c>
    </row>
    <row r="146" spans="1:9" x14ac:dyDescent="0.25">
      <c r="A146" s="3">
        <v>139</v>
      </c>
      <c r="B146" s="4">
        <v>45289</v>
      </c>
      <c r="C146" s="3">
        <v>15</v>
      </c>
      <c r="D146" s="5" t="str">
        <f>"1793"</f>
        <v>1793</v>
      </c>
      <c r="E146" s="6" t="str">
        <f>"Расходы будущих периодов"</f>
        <v>Расходы будущих периодов</v>
      </c>
      <c r="F146" s="3" t="str">
        <f>"2"</f>
        <v>2</v>
      </c>
      <c r="G146" s="3" t="str">
        <f>"7"</f>
        <v>7</v>
      </c>
      <c r="H146" s="3" t="str">
        <f t="shared" si="15"/>
        <v>1</v>
      </c>
      <c r="I146" s="7">
        <v>7601349.8700000001</v>
      </c>
    </row>
    <row r="147" spans="1:9" x14ac:dyDescent="0.25">
      <c r="A147" s="3">
        <v>140</v>
      </c>
      <c r="B147" s="4">
        <v>45289</v>
      </c>
      <c r="C147" s="3">
        <v>15</v>
      </c>
      <c r="D147" s="5" t="str">
        <f>"1799"</f>
        <v>1799</v>
      </c>
      <c r="E147" s="6" t="str">
        <f>"Прочие предоплаты"</f>
        <v>Прочие предоплаты</v>
      </c>
      <c r="F147" s="3" t="str">
        <f>"1"</f>
        <v>1</v>
      </c>
      <c r="G147" s="3" t="str">
        <f>"7"</f>
        <v>7</v>
      </c>
      <c r="H147" s="3" t="str">
        <f t="shared" si="15"/>
        <v>1</v>
      </c>
      <c r="I147" s="7">
        <v>29130213.039999999</v>
      </c>
    </row>
    <row r="148" spans="1:9" x14ac:dyDescent="0.25">
      <c r="A148" s="3">
        <v>141</v>
      </c>
      <c r="B148" s="4">
        <v>45289</v>
      </c>
      <c r="C148" s="3">
        <v>15</v>
      </c>
      <c r="D148" s="5" t="str">
        <f>"1811"</f>
        <v>1811</v>
      </c>
      <c r="E148" s="6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48" s="3" t="str">
        <f>"1"</f>
        <v>1</v>
      </c>
      <c r="G148" s="3">
        <v>0</v>
      </c>
      <c r="H148" s="3" t="str">
        <f t="shared" si="15"/>
        <v>1</v>
      </c>
      <c r="I148" s="7">
        <v>1083352</v>
      </c>
    </row>
    <row r="149" spans="1:9" x14ac:dyDescent="0.25">
      <c r="A149" s="3">
        <v>142</v>
      </c>
      <c r="B149" s="4">
        <v>45289</v>
      </c>
      <c r="C149" s="3">
        <v>15</v>
      </c>
      <c r="D149" s="5" t="str">
        <f>"1815"</f>
        <v>1815</v>
      </c>
      <c r="E149" s="6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49" s="3" t="str">
        <f>"1"</f>
        <v>1</v>
      </c>
      <c r="G149" s="3">
        <v>0</v>
      </c>
      <c r="H149" s="3" t="str">
        <f t="shared" si="15"/>
        <v>1</v>
      </c>
      <c r="I149" s="7">
        <v>89250.41</v>
      </c>
    </row>
    <row r="150" spans="1:9" x14ac:dyDescent="0.25">
      <c r="A150" s="3">
        <v>143</v>
      </c>
      <c r="B150" s="4">
        <v>45289</v>
      </c>
      <c r="C150" s="3">
        <v>15</v>
      </c>
      <c r="D150" s="5" t="str">
        <f>"1817"</f>
        <v>1817</v>
      </c>
      <c r="E150" s="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0" s="3" t="str">
        <f>"2"</f>
        <v>2</v>
      </c>
      <c r="G150" s="3">
        <v>0</v>
      </c>
      <c r="H150" s="3" t="str">
        <f t="shared" si="15"/>
        <v>1</v>
      </c>
      <c r="I150" s="7">
        <v>171511.6</v>
      </c>
    </row>
    <row r="151" spans="1:9" x14ac:dyDescent="0.25">
      <c r="A151" s="3">
        <v>144</v>
      </c>
      <c r="B151" s="4">
        <v>45289</v>
      </c>
      <c r="C151" s="3">
        <v>15</v>
      </c>
      <c r="D151" s="5" t="str">
        <f>"1817"</f>
        <v>1817</v>
      </c>
      <c r="E151" s="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1" s="3" t="str">
        <f>"1"</f>
        <v>1</v>
      </c>
      <c r="G151" s="3">
        <v>0</v>
      </c>
      <c r="H151" s="3" t="str">
        <f t="shared" si="15"/>
        <v>1</v>
      </c>
      <c r="I151" s="7">
        <v>6838463.3700000001</v>
      </c>
    </row>
    <row r="152" spans="1:9" x14ac:dyDescent="0.25">
      <c r="A152" s="3">
        <v>145</v>
      </c>
      <c r="B152" s="4">
        <v>45289</v>
      </c>
      <c r="C152" s="3">
        <v>15</v>
      </c>
      <c r="D152" s="5" t="str">
        <f>"1845"</f>
        <v>1845</v>
      </c>
      <c r="E152" s="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2" s="3" t="str">
        <f>"1"</f>
        <v>1</v>
      </c>
      <c r="G152" s="3">
        <v>0</v>
      </c>
      <c r="H152" s="3" t="str">
        <f t="shared" si="15"/>
        <v>1</v>
      </c>
      <c r="I152" s="7">
        <v>-17912.14</v>
      </c>
    </row>
    <row r="153" spans="1:9" x14ac:dyDescent="0.25">
      <c r="A153" s="3">
        <v>146</v>
      </c>
      <c r="B153" s="4">
        <v>45289</v>
      </c>
      <c r="C153" s="3">
        <v>15</v>
      </c>
      <c r="D153" s="5" t="str">
        <f>"1845"</f>
        <v>1845</v>
      </c>
      <c r="E153" s="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3" s="3" t="str">
        <f>"2"</f>
        <v>2</v>
      </c>
      <c r="G153" s="3">
        <v>0</v>
      </c>
      <c r="H153" s="3" t="str">
        <f t="shared" si="15"/>
        <v>1</v>
      </c>
      <c r="I153" s="7">
        <v>-41.47</v>
      </c>
    </row>
    <row r="154" spans="1:9" x14ac:dyDescent="0.25">
      <c r="A154" s="3">
        <v>147</v>
      </c>
      <c r="B154" s="4">
        <v>45289</v>
      </c>
      <c r="C154" s="3">
        <v>15</v>
      </c>
      <c r="D154" s="5" t="str">
        <f>"1851"</f>
        <v>1851</v>
      </c>
      <c r="E154" s="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54" s="3" t="str">
        <f>"1"</f>
        <v>1</v>
      </c>
      <c r="G154" s="3" t="str">
        <f>"1"</f>
        <v>1</v>
      </c>
      <c r="H154" s="3" t="str">
        <f t="shared" si="15"/>
        <v>1</v>
      </c>
      <c r="I154" s="7">
        <v>1046969641.76</v>
      </c>
    </row>
    <row r="155" spans="1:9" x14ac:dyDescent="0.25">
      <c r="A155" s="3">
        <v>148</v>
      </c>
      <c r="B155" s="4">
        <v>45289</v>
      </c>
      <c r="C155" s="3">
        <v>15</v>
      </c>
      <c r="D155" s="5" t="str">
        <f>"1854"</f>
        <v>1854</v>
      </c>
      <c r="E155" s="6" t="str">
        <f>"Расчеты с работниками"</f>
        <v>Расчеты с работниками</v>
      </c>
      <c r="F155" s="3">
        <v>0</v>
      </c>
      <c r="G155" s="3">
        <v>0</v>
      </c>
      <c r="H155" s="3">
        <v>0</v>
      </c>
      <c r="I155" s="7">
        <v>9297104.1099999994</v>
      </c>
    </row>
    <row r="156" spans="1:9" x14ac:dyDescent="0.25">
      <c r="A156" s="3">
        <v>149</v>
      </c>
      <c r="B156" s="4">
        <v>45289</v>
      </c>
      <c r="C156" s="3">
        <v>15</v>
      </c>
      <c r="D156" s="5" t="str">
        <f>"1855"</f>
        <v>1855</v>
      </c>
      <c r="E156" s="6" t="str">
        <f>"Дебиторы по документарным расчетам"</f>
        <v>Дебиторы по документарным расчетам</v>
      </c>
      <c r="F156" s="3" t="str">
        <f>"1"</f>
        <v>1</v>
      </c>
      <c r="G156" s="3" t="str">
        <f>"7"</f>
        <v>7</v>
      </c>
      <c r="H156" s="3" t="str">
        <f>"1"</f>
        <v>1</v>
      </c>
      <c r="I156" s="7">
        <v>183838903.46000001</v>
      </c>
    </row>
    <row r="157" spans="1:9" x14ac:dyDescent="0.25">
      <c r="A157" s="3">
        <v>150</v>
      </c>
      <c r="B157" s="4">
        <v>45289</v>
      </c>
      <c r="C157" s="3">
        <v>15</v>
      </c>
      <c r="D157" s="5" t="str">
        <f>"1855"</f>
        <v>1855</v>
      </c>
      <c r="E157" s="6" t="str">
        <f>"Дебиторы по документарным расчетам"</f>
        <v>Дебиторы по документарным расчетам</v>
      </c>
      <c r="F157" s="3" t="str">
        <f>"1"</f>
        <v>1</v>
      </c>
      <c r="G157" s="3" t="str">
        <f>"7"</f>
        <v>7</v>
      </c>
      <c r="H157" s="3" t="str">
        <f>"2"</f>
        <v>2</v>
      </c>
      <c r="I157" s="7">
        <v>3151811400.1900001</v>
      </c>
    </row>
    <row r="158" spans="1:9" x14ac:dyDescent="0.25">
      <c r="A158" s="3">
        <v>151</v>
      </c>
      <c r="B158" s="4">
        <v>45289</v>
      </c>
      <c r="C158" s="3">
        <v>15</v>
      </c>
      <c r="D158" s="5" t="str">
        <f>"1856"</f>
        <v>1856</v>
      </c>
      <c r="E158" s="6" t="str">
        <f>"Дебиторы по капитальным вложениям"</f>
        <v>Дебиторы по капитальным вложениям</v>
      </c>
      <c r="F158" s="3" t="str">
        <f>"1"</f>
        <v>1</v>
      </c>
      <c r="G158" s="3" t="str">
        <f>"7"</f>
        <v>7</v>
      </c>
      <c r="H158" s="3" t="str">
        <f>"1"</f>
        <v>1</v>
      </c>
      <c r="I158" s="7">
        <v>6108040</v>
      </c>
    </row>
    <row r="159" spans="1:9" x14ac:dyDescent="0.25">
      <c r="A159" s="3">
        <v>152</v>
      </c>
      <c r="B159" s="4">
        <v>45289</v>
      </c>
      <c r="C159" s="3">
        <v>15</v>
      </c>
      <c r="D159" s="5" t="str">
        <f>"1856"</f>
        <v>1856</v>
      </c>
      <c r="E159" s="6" t="str">
        <f>"Дебиторы по капитальным вложениям"</f>
        <v>Дебиторы по капитальным вложениям</v>
      </c>
      <c r="F159" s="3" t="str">
        <f>"1"</f>
        <v>1</v>
      </c>
      <c r="G159" s="3" t="str">
        <f>"9"</f>
        <v>9</v>
      </c>
      <c r="H159" s="3" t="str">
        <f>"1"</f>
        <v>1</v>
      </c>
      <c r="I159" s="7">
        <v>437000</v>
      </c>
    </row>
    <row r="160" spans="1:9" x14ac:dyDescent="0.25">
      <c r="A160" s="3">
        <v>153</v>
      </c>
      <c r="B160" s="4">
        <v>45289</v>
      </c>
      <c r="C160" s="3">
        <v>15</v>
      </c>
      <c r="D160" s="5" t="str">
        <f>"1857"</f>
        <v>1857</v>
      </c>
      <c r="E160" s="6" t="str">
        <f>"Отложенные налоговые активы"</f>
        <v>Отложенные налоговые активы</v>
      </c>
      <c r="F160" s="3">
        <v>0</v>
      </c>
      <c r="G160" s="3">
        <v>0</v>
      </c>
      <c r="H160" s="3">
        <v>0</v>
      </c>
      <c r="I160" s="7">
        <v>683065832</v>
      </c>
    </row>
    <row r="161" spans="1:9" x14ac:dyDescent="0.25">
      <c r="A161" s="3">
        <v>154</v>
      </c>
      <c r="B161" s="4">
        <v>45289</v>
      </c>
      <c r="C161" s="3">
        <v>15</v>
      </c>
      <c r="D161" s="5" t="str">
        <f t="shared" ref="D161:D170" si="16">"1860"</f>
        <v>1860</v>
      </c>
      <c r="E161" s="6" t="str">
        <f t="shared" ref="E161:E170" si="17">"Прочие дебиторы по банковской деятельности"</f>
        <v>Прочие дебиторы по банковской деятельности</v>
      </c>
      <c r="F161" s="3" t="str">
        <f>"2"</f>
        <v>2</v>
      </c>
      <c r="G161" s="3" t="str">
        <f>"9"</f>
        <v>9</v>
      </c>
      <c r="H161" s="3" t="str">
        <f>"1"</f>
        <v>1</v>
      </c>
      <c r="I161" s="7">
        <v>517902.29</v>
      </c>
    </row>
    <row r="162" spans="1:9" x14ac:dyDescent="0.25">
      <c r="A162" s="3">
        <v>155</v>
      </c>
      <c r="B162" s="4">
        <v>45289</v>
      </c>
      <c r="C162" s="3">
        <v>15</v>
      </c>
      <c r="D162" s="5" t="str">
        <f t="shared" si="16"/>
        <v>1860</v>
      </c>
      <c r="E162" s="6" t="str">
        <f t="shared" si="17"/>
        <v>Прочие дебиторы по банковской деятельности</v>
      </c>
      <c r="F162" s="3" t="str">
        <f>"1"</f>
        <v>1</v>
      </c>
      <c r="G162" s="3" t="str">
        <f>"5"</f>
        <v>5</v>
      </c>
      <c r="H162" s="3" t="str">
        <f>"1"</f>
        <v>1</v>
      </c>
      <c r="I162" s="7">
        <v>6317125.7000000002</v>
      </c>
    </row>
    <row r="163" spans="1:9" x14ac:dyDescent="0.25">
      <c r="A163" s="3">
        <v>156</v>
      </c>
      <c r="B163" s="4">
        <v>45289</v>
      </c>
      <c r="C163" s="3">
        <v>15</v>
      </c>
      <c r="D163" s="5" t="str">
        <f t="shared" si="16"/>
        <v>1860</v>
      </c>
      <c r="E163" s="6" t="str">
        <f t="shared" si="17"/>
        <v>Прочие дебиторы по банковской деятельности</v>
      </c>
      <c r="F163" s="3" t="str">
        <f>"1"</f>
        <v>1</v>
      </c>
      <c r="G163" s="3" t="str">
        <f>"7"</f>
        <v>7</v>
      </c>
      <c r="H163" s="3" t="str">
        <f>"1"</f>
        <v>1</v>
      </c>
      <c r="I163" s="7">
        <v>724430869.76999998</v>
      </c>
    </row>
    <row r="164" spans="1:9" x14ac:dyDescent="0.25">
      <c r="A164" s="3">
        <v>157</v>
      </c>
      <c r="B164" s="4">
        <v>45289</v>
      </c>
      <c r="C164" s="3">
        <v>15</v>
      </c>
      <c r="D164" s="5" t="str">
        <f t="shared" si="16"/>
        <v>1860</v>
      </c>
      <c r="E164" s="6" t="str">
        <f t="shared" si="17"/>
        <v>Прочие дебиторы по банковской деятельности</v>
      </c>
      <c r="F164" s="3" t="str">
        <f>"1"</f>
        <v>1</v>
      </c>
      <c r="G164" s="3" t="str">
        <f>"7"</f>
        <v>7</v>
      </c>
      <c r="H164" s="3" t="str">
        <f>"2"</f>
        <v>2</v>
      </c>
      <c r="I164" s="7">
        <v>44987.32</v>
      </c>
    </row>
    <row r="165" spans="1:9" x14ac:dyDescent="0.25">
      <c r="A165" s="3">
        <v>158</v>
      </c>
      <c r="B165" s="4">
        <v>45289</v>
      </c>
      <c r="C165" s="3">
        <v>15</v>
      </c>
      <c r="D165" s="5" t="str">
        <f t="shared" si="16"/>
        <v>1860</v>
      </c>
      <c r="E165" s="6" t="str">
        <f t="shared" si="17"/>
        <v>Прочие дебиторы по банковской деятельности</v>
      </c>
      <c r="F165" s="3" t="str">
        <f>"2"</f>
        <v>2</v>
      </c>
      <c r="G165" s="3" t="str">
        <f>"5"</f>
        <v>5</v>
      </c>
      <c r="H165" s="3" t="str">
        <f>"2"</f>
        <v>2</v>
      </c>
      <c r="I165" s="7">
        <v>222966.23</v>
      </c>
    </row>
    <row r="166" spans="1:9" x14ac:dyDescent="0.25">
      <c r="A166" s="3">
        <v>159</v>
      </c>
      <c r="B166" s="4">
        <v>45289</v>
      </c>
      <c r="C166" s="3">
        <v>15</v>
      </c>
      <c r="D166" s="5" t="str">
        <f t="shared" si="16"/>
        <v>1860</v>
      </c>
      <c r="E166" s="6" t="str">
        <f t="shared" si="17"/>
        <v>Прочие дебиторы по банковской деятельности</v>
      </c>
      <c r="F166" s="3" t="str">
        <f>"2"</f>
        <v>2</v>
      </c>
      <c r="G166" s="3" t="str">
        <f>"4"</f>
        <v>4</v>
      </c>
      <c r="H166" s="3" t="str">
        <f>"2"</f>
        <v>2</v>
      </c>
      <c r="I166" s="7">
        <v>33773.81</v>
      </c>
    </row>
    <row r="167" spans="1:9" x14ac:dyDescent="0.25">
      <c r="A167" s="3">
        <v>160</v>
      </c>
      <c r="B167" s="4">
        <v>45289</v>
      </c>
      <c r="C167" s="3">
        <v>15</v>
      </c>
      <c r="D167" s="5" t="str">
        <f t="shared" si="16"/>
        <v>1860</v>
      </c>
      <c r="E167" s="6" t="str">
        <f t="shared" si="17"/>
        <v>Прочие дебиторы по банковской деятельности</v>
      </c>
      <c r="F167" s="3" t="str">
        <f>"1"</f>
        <v>1</v>
      </c>
      <c r="G167" s="3" t="str">
        <f>"9"</f>
        <v>9</v>
      </c>
      <c r="H167" s="3" t="str">
        <f>"1"</f>
        <v>1</v>
      </c>
      <c r="I167" s="7">
        <v>21998954.140000001</v>
      </c>
    </row>
    <row r="168" spans="1:9" x14ac:dyDescent="0.25">
      <c r="A168" s="3">
        <v>161</v>
      </c>
      <c r="B168" s="4">
        <v>45289</v>
      </c>
      <c r="C168" s="3">
        <v>15</v>
      </c>
      <c r="D168" s="5" t="str">
        <f t="shared" si="16"/>
        <v>1860</v>
      </c>
      <c r="E168" s="6" t="str">
        <f t="shared" si="17"/>
        <v>Прочие дебиторы по банковской деятельности</v>
      </c>
      <c r="F168" s="3" t="str">
        <f>"2"</f>
        <v>2</v>
      </c>
      <c r="G168" s="3" t="str">
        <f>"9"</f>
        <v>9</v>
      </c>
      <c r="H168" s="3" t="str">
        <f>"2"</f>
        <v>2</v>
      </c>
      <c r="I168" s="7">
        <v>1409053.58</v>
      </c>
    </row>
    <row r="169" spans="1:9" x14ac:dyDescent="0.25">
      <c r="A169" s="3">
        <v>162</v>
      </c>
      <c r="B169" s="4">
        <v>45289</v>
      </c>
      <c r="C169" s="3">
        <v>15</v>
      </c>
      <c r="D169" s="5" t="str">
        <f t="shared" si="16"/>
        <v>1860</v>
      </c>
      <c r="E169" s="6" t="str">
        <f t="shared" si="17"/>
        <v>Прочие дебиторы по банковской деятельности</v>
      </c>
      <c r="F169" s="3" t="str">
        <f>"1"</f>
        <v>1</v>
      </c>
      <c r="G169" s="3" t="str">
        <f>"9"</f>
        <v>9</v>
      </c>
      <c r="H169" s="3" t="str">
        <f>"2"</f>
        <v>2</v>
      </c>
      <c r="I169" s="7">
        <v>6884149.4900000002</v>
      </c>
    </row>
    <row r="170" spans="1:9" x14ac:dyDescent="0.25">
      <c r="A170" s="3">
        <v>163</v>
      </c>
      <c r="B170" s="4">
        <v>45289</v>
      </c>
      <c r="C170" s="3">
        <v>15</v>
      </c>
      <c r="D170" s="5" t="str">
        <f t="shared" si="16"/>
        <v>1860</v>
      </c>
      <c r="E170" s="6" t="str">
        <f t="shared" si="17"/>
        <v>Прочие дебиторы по банковской деятельности</v>
      </c>
      <c r="F170" s="3" t="str">
        <f>"1"</f>
        <v>1</v>
      </c>
      <c r="G170" s="3" t="str">
        <f>"4"</f>
        <v>4</v>
      </c>
      <c r="H170" s="3" t="str">
        <f t="shared" ref="H170:H175" si="18">"1"</f>
        <v>1</v>
      </c>
      <c r="I170" s="7">
        <v>3164030.11</v>
      </c>
    </row>
    <row r="171" spans="1:9" x14ac:dyDescent="0.25">
      <c r="A171" s="3">
        <v>164</v>
      </c>
      <c r="B171" s="4">
        <v>45289</v>
      </c>
      <c r="C171" s="3">
        <v>15</v>
      </c>
      <c r="D171" s="5" t="str">
        <f>"1867"</f>
        <v>1867</v>
      </c>
      <c r="E171" s="6" t="str">
        <f>"Прочие дебиторы по неосновной деятельности"</f>
        <v>Прочие дебиторы по неосновной деятельности</v>
      </c>
      <c r="F171" s="3" t="str">
        <f>"2"</f>
        <v>2</v>
      </c>
      <c r="G171" s="3" t="str">
        <f>"7"</f>
        <v>7</v>
      </c>
      <c r="H171" s="3" t="str">
        <f t="shared" si="18"/>
        <v>1</v>
      </c>
      <c r="I171" s="7">
        <v>3725382</v>
      </c>
    </row>
    <row r="172" spans="1:9" x14ac:dyDescent="0.25">
      <c r="A172" s="3">
        <v>165</v>
      </c>
      <c r="B172" s="4">
        <v>45289</v>
      </c>
      <c r="C172" s="3">
        <v>15</v>
      </c>
      <c r="D172" s="5" t="str">
        <f>"1867"</f>
        <v>1867</v>
      </c>
      <c r="E172" s="6" t="str">
        <f>"Прочие дебиторы по неосновной деятельности"</f>
        <v>Прочие дебиторы по неосновной деятельности</v>
      </c>
      <c r="F172" s="3" t="str">
        <f t="shared" ref="F172:F179" si="19">"1"</f>
        <v>1</v>
      </c>
      <c r="G172" s="3" t="str">
        <f>"7"</f>
        <v>7</v>
      </c>
      <c r="H172" s="3" t="str">
        <f t="shared" si="18"/>
        <v>1</v>
      </c>
      <c r="I172" s="7">
        <v>50663461.939999998</v>
      </c>
    </row>
    <row r="173" spans="1:9" x14ac:dyDescent="0.25">
      <c r="A173" s="3">
        <v>166</v>
      </c>
      <c r="B173" s="4">
        <v>45289</v>
      </c>
      <c r="C173" s="3">
        <v>15</v>
      </c>
      <c r="D173" s="5" t="str">
        <f>"1867"</f>
        <v>1867</v>
      </c>
      <c r="E173" s="6" t="str">
        <f>"Прочие дебиторы по неосновной деятельности"</f>
        <v>Прочие дебиторы по неосновной деятельности</v>
      </c>
      <c r="F173" s="3" t="str">
        <f t="shared" si="19"/>
        <v>1</v>
      </c>
      <c r="G173" s="3" t="str">
        <f>"9"</f>
        <v>9</v>
      </c>
      <c r="H173" s="3" t="str">
        <f t="shared" si="18"/>
        <v>1</v>
      </c>
      <c r="I173" s="7">
        <v>9072232</v>
      </c>
    </row>
    <row r="174" spans="1:9" x14ac:dyDescent="0.25">
      <c r="A174" s="3">
        <v>167</v>
      </c>
      <c r="B174" s="4">
        <v>45289</v>
      </c>
      <c r="C174" s="3">
        <v>15</v>
      </c>
      <c r="D174" s="5" t="str">
        <f>"1867"</f>
        <v>1867</v>
      </c>
      <c r="E174" s="6" t="str">
        <f>"Прочие дебиторы по неосновной деятельности"</f>
        <v>Прочие дебиторы по неосновной деятельности</v>
      </c>
      <c r="F174" s="3" t="str">
        <f t="shared" si="19"/>
        <v>1</v>
      </c>
      <c r="G174" s="3" t="str">
        <f>"6"</f>
        <v>6</v>
      </c>
      <c r="H174" s="3" t="str">
        <f t="shared" si="18"/>
        <v>1</v>
      </c>
      <c r="I174" s="7">
        <v>1800000</v>
      </c>
    </row>
    <row r="175" spans="1:9" x14ac:dyDescent="0.25">
      <c r="A175" s="3">
        <v>168</v>
      </c>
      <c r="B175" s="4">
        <v>45289</v>
      </c>
      <c r="C175" s="3">
        <v>15</v>
      </c>
      <c r="D175" s="5" t="str">
        <f>"1867"</f>
        <v>1867</v>
      </c>
      <c r="E175" s="6" t="str">
        <f>"Прочие дебиторы по неосновной деятельности"</f>
        <v>Прочие дебиторы по неосновной деятельности</v>
      </c>
      <c r="F175" s="3" t="str">
        <f t="shared" si="19"/>
        <v>1</v>
      </c>
      <c r="G175" s="3" t="str">
        <f>"5"</f>
        <v>5</v>
      </c>
      <c r="H175" s="3" t="str">
        <f t="shared" si="18"/>
        <v>1</v>
      </c>
      <c r="I175" s="7">
        <v>6510289.5</v>
      </c>
    </row>
    <row r="176" spans="1:9" x14ac:dyDescent="0.25">
      <c r="A176" s="3">
        <v>169</v>
      </c>
      <c r="B176" s="4">
        <v>45289</v>
      </c>
      <c r="C176" s="3">
        <v>15</v>
      </c>
      <c r="D176" s="5" t="str">
        <f>"1870"</f>
        <v>1870</v>
      </c>
      <c r="E176" s="6" t="str">
        <f>"Прочие транзитные счета"</f>
        <v>Прочие транзитные счета</v>
      </c>
      <c r="F176" s="3" t="str">
        <f t="shared" si="19"/>
        <v>1</v>
      </c>
      <c r="G176" s="3" t="str">
        <f>"4"</f>
        <v>4</v>
      </c>
      <c r="H176" s="3" t="str">
        <f>"2"</f>
        <v>2</v>
      </c>
      <c r="I176" s="7">
        <v>22728</v>
      </c>
    </row>
    <row r="177" spans="1:9" x14ac:dyDescent="0.25">
      <c r="A177" s="3">
        <v>170</v>
      </c>
      <c r="B177" s="4">
        <v>45289</v>
      </c>
      <c r="C177" s="3">
        <v>15</v>
      </c>
      <c r="D177" s="5" t="str">
        <f>"1870"</f>
        <v>1870</v>
      </c>
      <c r="E177" s="6" t="str">
        <f>"Прочие транзитные счета"</f>
        <v>Прочие транзитные счета</v>
      </c>
      <c r="F177" s="3" t="str">
        <f t="shared" si="19"/>
        <v>1</v>
      </c>
      <c r="G177" s="3" t="str">
        <f>"9"</f>
        <v>9</v>
      </c>
      <c r="H177" s="3" t="str">
        <f>"1"</f>
        <v>1</v>
      </c>
      <c r="I177" s="7">
        <v>27167614.050000001</v>
      </c>
    </row>
    <row r="178" spans="1:9" x14ac:dyDescent="0.25">
      <c r="A178" s="3">
        <v>171</v>
      </c>
      <c r="B178" s="4">
        <v>45289</v>
      </c>
      <c r="C178" s="3">
        <v>15</v>
      </c>
      <c r="D178" s="5" t="str">
        <f>"1870"</f>
        <v>1870</v>
      </c>
      <c r="E178" s="6" t="str">
        <f>"Прочие транзитные счета"</f>
        <v>Прочие транзитные счета</v>
      </c>
      <c r="F178" s="3" t="str">
        <f t="shared" si="19"/>
        <v>1</v>
      </c>
      <c r="G178" s="3" t="str">
        <f>"4"</f>
        <v>4</v>
      </c>
      <c r="H178" s="3" t="str">
        <f>"1"</f>
        <v>1</v>
      </c>
      <c r="I178" s="7">
        <v>21368383.34</v>
      </c>
    </row>
    <row r="179" spans="1:9" x14ac:dyDescent="0.25">
      <c r="A179" s="3">
        <v>172</v>
      </c>
      <c r="B179" s="4">
        <v>45289</v>
      </c>
      <c r="C179" s="3">
        <v>15</v>
      </c>
      <c r="D179" s="5" t="str">
        <f>"1870"</f>
        <v>1870</v>
      </c>
      <c r="E179" s="6" t="str">
        <f>"Прочие транзитные счета"</f>
        <v>Прочие транзитные счета</v>
      </c>
      <c r="F179" s="3" t="str">
        <f t="shared" si="19"/>
        <v>1</v>
      </c>
      <c r="G179" s="3" t="str">
        <f>"9"</f>
        <v>9</v>
      </c>
      <c r="H179" s="3" t="str">
        <f>"2"</f>
        <v>2</v>
      </c>
      <c r="I179" s="7">
        <v>117821.75999999999</v>
      </c>
    </row>
    <row r="180" spans="1:9" x14ac:dyDescent="0.25">
      <c r="A180" s="3">
        <v>173</v>
      </c>
      <c r="B180" s="4">
        <v>45289</v>
      </c>
      <c r="C180" s="3">
        <v>15</v>
      </c>
      <c r="D180" s="5" t="str">
        <f t="shared" ref="D180:D187" si="20">"1877"</f>
        <v>1877</v>
      </c>
      <c r="E180" s="6" t="str">
        <f t="shared" ref="E180:E187" si="2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80" s="3" t="str">
        <f>"2"</f>
        <v>2</v>
      </c>
      <c r="G180" s="3" t="str">
        <f>"9"</f>
        <v>9</v>
      </c>
      <c r="H180" s="3" t="str">
        <f>"2"</f>
        <v>2</v>
      </c>
      <c r="I180" s="7">
        <v>-1409053.6</v>
      </c>
    </row>
    <row r="181" spans="1:9" x14ac:dyDescent="0.25">
      <c r="A181" s="3">
        <v>174</v>
      </c>
      <c r="B181" s="4">
        <v>45289</v>
      </c>
      <c r="C181" s="3">
        <v>15</v>
      </c>
      <c r="D181" s="5" t="str">
        <f t="shared" si="20"/>
        <v>1877</v>
      </c>
      <c r="E181" s="6" t="str">
        <f t="shared" si="21"/>
        <v>Резервы (провизии) по дебиторской задолженности, связанной с банковской деятельностью</v>
      </c>
      <c r="F181" s="3" t="str">
        <f>"1"</f>
        <v>1</v>
      </c>
      <c r="G181" s="3" t="str">
        <f>"9"</f>
        <v>9</v>
      </c>
      <c r="H181" s="3" t="str">
        <f>"2"</f>
        <v>2</v>
      </c>
      <c r="I181" s="7">
        <v>-6879108.4500000002</v>
      </c>
    </row>
    <row r="182" spans="1:9" x14ac:dyDescent="0.25">
      <c r="A182" s="3">
        <v>175</v>
      </c>
      <c r="B182" s="4">
        <v>45289</v>
      </c>
      <c r="C182" s="3">
        <v>15</v>
      </c>
      <c r="D182" s="5" t="str">
        <f t="shared" si="20"/>
        <v>1877</v>
      </c>
      <c r="E182" s="6" t="str">
        <f t="shared" si="21"/>
        <v>Резервы (провизии) по дебиторской задолженности, связанной с банковской деятельностью</v>
      </c>
      <c r="F182" s="3" t="str">
        <f>"2"</f>
        <v>2</v>
      </c>
      <c r="G182" s="3" t="str">
        <f>"5"</f>
        <v>5</v>
      </c>
      <c r="H182" s="3" t="str">
        <f>"2"</f>
        <v>2</v>
      </c>
      <c r="I182" s="7">
        <v>-1777.93</v>
      </c>
    </row>
    <row r="183" spans="1:9" x14ac:dyDescent="0.25">
      <c r="A183" s="3">
        <v>176</v>
      </c>
      <c r="B183" s="4">
        <v>45289</v>
      </c>
      <c r="C183" s="3">
        <v>15</v>
      </c>
      <c r="D183" s="5" t="str">
        <f t="shared" si="20"/>
        <v>1877</v>
      </c>
      <c r="E183" s="6" t="str">
        <f t="shared" si="21"/>
        <v>Резервы (провизии) по дебиторской задолженности, связанной с банковской деятельностью</v>
      </c>
      <c r="F183" s="3" t="str">
        <f>"1"</f>
        <v>1</v>
      </c>
      <c r="G183" s="3" t="str">
        <f>"5"</f>
        <v>5</v>
      </c>
      <c r="H183" s="3" t="str">
        <f>"1"</f>
        <v>1</v>
      </c>
      <c r="I183" s="7">
        <v>-3675843.1</v>
      </c>
    </row>
    <row r="184" spans="1:9" x14ac:dyDescent="0.25">
      <c r="A184" s="3">
        <v>177</v>
      </c>
      <c r="B184" s="4">
        <v>45289</v>
      </c>
      <c r="C184" s="3">
        <v>15</v>
      </c>
      <c r="D184" s="5" t="str">
        <f t="shared" si="20"/>
        <v>1877</v>
      </c>
      <c r="E184" s="6" t="str">
        <f t="shared" si="21"/>
        <v>Резервы (провизии) по дебиторской задолженности, связанной с банковской деятельностью</v>
      </c>
      <c r="F184" s="3" t="str">
        <f>"1"</f>
        <v>1</v>
      </c>
      <c r="G184" s="3" t="str">
        <f>"7"</f>
        <v>7</v>
      </c>
      <c r="H184" s="3" t="str">
        <f>"1"</f>
        <v>1</v>
      </c>
      <c r="I184" s="7">
        <v>-9853765.2300000004</v>
      </c>
    </row>
    <row r="185" spans="1:9" x14ac:dyDescent="0.25">
      <c r="A185" s="3">
        <v>178</v>
      </c>
      <c r="B185" s="4">
        <v>45289</v>
      </c>
      <c r="C185" s="3">
        <v>15</v>
      </c>
      <c r="D185" s="5" t="str">
        <f t="shared" si="20"/>
        <v>1877</v>
      </c>
      <c r="E185" s="6" t="str">
        <f t="shared" si="21"/>
        <v>Резервы (провизии) по дебиторской задолженности, связанной с банковской деятельностью</v>
      </c>
      <c r="F185" s="3" t="str">
        <f>"1"</f>
        <v>1</v>
      </c>
      <c r="G185" s="3" t="str">
        <f>"9"</f>
        <v>9</v>
      </c>
      <c r="H185" s="3" t="str">
        <f>"1"</f>
        <v>1</v>
      </c>
      <c r="I185" s="7">
        <v>-16249678.27</v>
      </c>
    </row>
    <row r="186" spans="1:9" x14ac:dyDescent="0.25">
      <c r="A186" s="3">
        <v>179</v>
      </c>
      <c r="B186" s="4">
        <v>45289</v>
      </c>
      <c r="C186" s="3">
        <v>15</v>
      </c>
      <c r="D186" s="5" t="str">
        <f t="shared" si="20"/>
        <v>1877</v>
      </c>
      <c r="E186" s="6" t="str">
        <f t="shared" si="21"/>
        <v>Резервы (провизии) по дебиторской задолженности, связанной с банковской деятельностью</v>
      </c>
      <c r="F186" s="3" t="str">
        <f>"1"</f>
        <v>1</v>
      </c>
      <c r="G186" s="3" t="str">
        <f>"7"</f>
        <v>7</v>
      </c>
      <c r="H186" s="3" t="str">
        <f>"2"</f>
        <v>2</v>
      </c>
      <c r="I186" s="7">
        <v>-168937096.71000001</v>
      </c>
    </row>
    <row r="187" spans="1:9" x14ac:dyDescent="0.25">
      <c r="A187" s="3">
        <v>180</v>
      </c>
      <c r="B187" s="4">
        <v>45289</v>
      </c>
      <c r="C187" s="3">
        <v>15</v>
      </c>
      <c r="D187" s="5" t="str">
        <f t="shared" si="20"/>
        <v>1877</v>
      </c>
      <c r="E187" s="6" t="str">
        <f t="shared" si="21"/>
        <v>Резервы (провизии) по дебиторской задолженности, связанной с банковской деятельностью</v>
      </c>
      <c r="F187" s="3" t="str">
        <f>"2"</f>
        <v>2</v>
      </c>
      <c r="G187" s="3" t="str">
        <f>"9"</f>
        <v>9</v>
      </c>
      <c r="H187" s="3" t="str">
        <f>"1"</f>
        <v>1</v>
      </c>
      <c r="I187" s="7">
        <v>-474338.37</v>
      </c>
    </row>
    <row r="188" spans="1:9" x14ac:dyDescent="0.25">
      <c r="A188" s="3">
        <v>181</v>
      </c>
      <c r="B188" s="4">
        <v>45289</v>
      </c>
      <c r="C188" s="3">
        <v>15</v>
      </c>
      <c r="D188" s="5" t="str">
        <f>"1894"</f>
        <v>1894</v>
      </c>
      <c r="E188" s="6" t="str">
        <f>"Требования по операциям спот"</f>
        <v>Требования по операциям спот</v>
      </c>
      <c r="F188" s="3" t="str">
        <f>"1"</f>
        <v>1</v>
      </c>
      <c r="G188" s="3" t="str">
        <f>"5"</f>
        <v>5</v>
      </c>
      <c r="H188" s="3" t="str">
        <f>"1"</f>
        <v>1</v>
      </c>
      <c r="I188" s="7">
        <v>105000</v>
      </c>
    </row>
    <row r="189" spans="1:9" x14ac:dyDescent="0.25">
      <c r="A189" s="3">
        <v>182</v>
      </c>
      <c r="B189" s="4">
        <v>45289</v>
      </c>
      <c r="C189" s="3">
        <v>15</v>
      </c>
      <c r="D189" s="5" t="str">
        <f>"1894"</f>
        <v>1894</v>
      </c>
      <c r="E189" s="6" t="str">
        <f>"Требования по операциям спот"</f>
        <v>Требования по операциям спот</v>
      </c>
      <c r="F189" s="3" t="str">
        <f>"1"</f>
        <v>1</v>
      </c>
      <c r="G189" s="3" t="str">
        <f>"4"</f>
        <v>4</v>
      </c>
      <c r="H189" s="3" t="str">
        <f>"1"</f>
        <v>1</v>
      </c>
      <c r="I189" s="7">
        <v>2800000</v>
      </c>
    </row>
    <row r="190" spans="1:9" x14ac:dyDescent="0.25">
      <c r="A190" s="3">
        <v>183</v>
      </c>
      <c r="B190" s="4">
        <v>45289</v>
      </c>
      <c r="C190" s="3">
        <v>15</v>
      </c>
      <c r="D190" s="5" t="str">
        <f>"1895"</f>
        <v>1895</v>
      </c>
      <c r="E190" s="6" t="str">
        <f>"Требования по операциям своп"</f>
        <v>Требования по операциям своп</v>
      </c>
      <c r="F190" s="3" t="str">
        <f>"2"</f>
        <v>2</v>
      </c>
      <c r="G190" s="3" t="str">
        <f>"4"</f>
        <v>4</v>
      </c>
      <c r="H190" s="3" t="str">
        <f>"1"</f>
        <v>1</v>
      </c>
      <c r="I190" s="7">
        <v>8175999.5199999996</v>
      </c>
    </row>
    <row r="191" spans="1:9" x14ac:dyDescent="0.25">
      <c r="A191" s="3">
        <v>184</v>
      </c>
      <c r="B191" s="4">
        <v>45289</v>
      </c>
      <c r="C191" s="3">
        <v>15</v>
      </c>
      <c r="D191" s="5" t="str">
        <f>"2012"</f>
        <v>2012</v>
      </c>
      <c r="E191" s="6" t="str">
        <f>"Корреспондентские счета иностранных центральных банков"</f>
        <v>Корреспондентские счета иностранных центральных банков</v>
      </c>
      <c r="F191" s="3" t="str">
        <f>"2"</f>
        <v>2</v>
      </c>
      <c r="G191" s="3" t="str">
        <f>"3"</f>
        <v>3</v>
      </c>
      <c r="H191" s="3" t="str">
        <f>"2"</f>
        <v>2</v>
      </c>
      <c r="I191" s="7">
        <v>9688110.0099999998</v>
      </c>
    </row>
    <row r="192" spans="1:9" x14ac:dyDescent="0.25">
      <c r="A192" s="3">
        <v>185</v>
      </c>
      <c r="B192" s="4">
        <v>45289</v>
      </c>
      <c r="C192" s="3">
        <v>15</v>
      </c>
      <c r="D192" s="5" t="str">
        <f>"2013"</f>
        <v>2013</v>
      </c>
      <c r="E192" s="6" t="str">
        <f>"Корреспондентские счета других банков"</f>
        <v>Корреспондентские счета других банков</v>
      </c>
      <c r="F192" s="3" t="str">
        <f>"1"</f>
        <v>1</v>
      </c>
      <c r="G192" s="3" t="str">
        <f>"4"</f>
        <v>4</v>
      </c>
      <c r="H192" s="3" t="str">
        <f>"2"</f>
        <v>2</v>
      </c>
      <c r="I192" s="7">
        <v>22202303.940000001</v>
      </c>
    </row>
    <row r="193" spans="1:9" x14ac:dyDescent="0.25">
      <c r="A193" s="3">
        <v>186</v>
      </c>
      <c r="B193" s="4">
        <v>45289</v>
      </c>
      <c r="C193" s="3">
        <v>15</v>
      </c>
      <c r="D193" s="5" t="str">
        <f>"2013"</f>
        <v>2013</v>
      </c>
      <c r="E193" s="6" t="str">
        <f>"Корреспондентские счета других банков"</f>
        <v>Корреспондентские счета других банков</v>
      </c>
      <c r="F193" s="3" t="str">
        <f>"2"</f>
        <v>2</v>
      </c>
      <c r="G193" s="3" t="str">
        <f>"4"</f>
        <v>4</v>
      </c>
      <c r="H193" s="3" t="str">
        <f t="shared" ref="H193:H199" si="22">"1"</f>
        <v>1</v>
      </c>
      <c r="I193" s="7">
        <v>973651937.35000002</v>
      </c>
    </row>
    <row r="194" spans="1:9" x14ac:dyDescent="0.25">
      <c r="A194" s="3">
        <v>187</v>
      </c>
      <c r="B194" s="4">
        <v>45289</v>
      </c>
      <c r="C194" s="3">
        <v>15</v>
      </c>
      <c r="D194" s="5" t="str">
        <f>"2013"</f>
        <v>2013</v>
      </c>
      <c r="E194" s="6" t="str">
        <f>"Корреспондентские счета других банков"</f>
        <v>Корреспондентские счета других банков</v>
      </c>
      <c r="F194" s="3" t="str">
        <f>"1"</f>
        <v>1</v>
      </c>
      <c r="G194" s="3" t="str">
        <f>"4"</f>
        <v>4</v>
      </c>
      <c r="H194" s="3" t="str">
        <f t="shared" si="22"/>
        <v>1</v>
      </c>
      <c r="I194" s="7">
        <v>9906555.6899999995</v>
      </c>
    </row>
    <row r="195" spans="1:9" x14ac:dyDescent="0.25">
      <c r="A195" s="3">
        <v>188</v>
      </c>
      <c r="B195" s="4">
        <v>45289</v>
      </c>
      <c r="C195" s="3">
        <v>15</v>
      </c>
      <c r="D195" s="5" t="str">
        <f>"2066"</f>
        <v>2066</v>
      </c>
      <c r="E195" s="6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195" s="3" t="str">
        <f>"1"</f>
        <v>1</v>
      </c>
      <c r="G195" s="3" t="str">
        <f>"5"</f>
        <v>5</v>
      </c>
      <c r="H195" s="3" t="str">
        <f t="shared" si="22"/>
        <v>1</v>
      </c>
      <c r="I195" s="7">
        <v>180000000</v>
      </c>
    </row>
    <row r="196" spans="1:9" x14ac:dyDescent="0.25">
      <c r="A196" s="3">
        <v>189</v>
      </c>
      <c r="B196" s="4">
        <v>45289</v>
      </c>
      <c r="C196" s="3">
        <v>15</v>
      </c>
      <c r="D196" s="5" t="str">
        <f>"2125"</f>
        <v>2125</v>
      </c>
      <c r="E196" s="6" t="str">
        <f>"Вклады, привлеченные от других банков на одну ночь"</f>
        <v>Вклады, привлеченные от других банков на одну ночь</v>
      </c>
      <c r="F196" s="3" t="str">
        <f>"1"</f>
        <v>1</v>
      </c>
      <c r="G196" s="3" t="str">
        <f>"4"</f>
        <v>4</v>
      </c>
      <c r="H196" s="3" t="str">
        <f t="shared" si="22"/>
        <v>1</v>
      </c>
      <c r="I196" s="7">
        <v>4500000000</v>
      </c>
    </row>
    <row r="197" spans="1:9" x14ac:dyDescent="0.25">
      <c r="A197" s="3">
        <v>190</v>
      </c>
      <c r="B197" s="4">
        <v>45289</v>
      </c>
      <c r="C197" s="3">
        <v>15</v>
      </c>
      <c r="D197" s="5" t="str">
        <f t="shared" ref="D197:D214" si="23">"2203"</f>
        <v>2203</v>
      </c>
      <c r="E197" s="6" t="str">
        <f t="shared" ref="E197:E214" si="24">"Текущие счета юридических лиц"</f>
        <v>Текущие счета юридических лиц</v>
      </c>
      <c r="F197" s="3" t="str">
        <f>"2"</f>
        <v>2</v>
      </c>
      <c r="G197" s="3" t="str">
        <f>"7"</f>
        <v>7</v>
      </c>
      <c r="H197" s="3" t="str">
        <f t="shared" si="22"/>
        <v>1</v>
      </c>
      <c r="I197" s="7">
        <v>582968882.19000006</v>
      </c>
    </row>
    <row r="198" spans="1:9" x14ac:dyDescent="0.25">
      <c r="A198" s="3">
        <v>191</v>
      </c>
      <c r="B198" s="4">
        <v>45289</v>
      </c>
      <c r="C198" s="3">
        <v>15</v>
      </c>
      <c r="D198" s="5" t="str">
        <f t="shared" si="23"/>
        <v>2203</v>
      </c>
      <c r="E198" s="6" t="str">
        <f t="shared" si="24"/>
        <v>Текущие счета юридических лиц</v>
      </c>
      <c r="F198" s="3" t="str">
        <f>"2"</f>
        <v>2</v>
      </c>
      <c r="G198" s="3" t="str">
        <f>"3"</f>
        <v>3</v>
      </c>
      <c r="H198" s="3" t="str">
        <f t="shared" si="22"/>
        <v>1</v>
      </c>
      <c r="I198" s="7">
        <v>107895.14</v>
      </c>
    </row>
    <row r="199" spans="1:9" x14ac:dyDescent="0.25">
      <c r="A199" s="3">
        <v>192</v>
      </c>
      <c r="B199" s="4">
        <v>45289</v>
      </c>
      <c r="C199" s="3">
        <v>15</v>
      </c>
      <c r="D199" s="5" t="str">
        <f t="shared" si="23"/>
        <v>2203</v>
      </c>
      <c r="E199" s="6" t="str">
        <f t="shared" si="24"/>
        <v>Текущие счета юридических лиц</v>
      </c>
      <c r="F199" s="3" t="str">
        <f>"1"</f>
        <v>1</v>
      </c>
      <c r="G199" s="3" t="str">
        <f>"8"</f>
        <v>8</v>
      </c>
      <c r="H199" s="3" t="str">
        <f t="shared" si="22"/>
        <v>1</v>
      </c>
      <c r="I199" s="7">
        <v>40503005.329999998</v>
      </c>
    </row>
    <row r="200" spans="1:9" x14ac:dyDescent="0.25">
      <c r="A200" s="3">
        <v>193</v>
      </c>
      <c r="B200" s="4">
        <v>45289</v>
      </c>
      <c r="C200" s="3">
        <v>15</v>
      </c>
      <c r="D200" s="5" t="str">
        <f t="shared" si="23"/>
        <v>2203</v>
      </c>
      <c r="E200" s="6" t="str">
        <f t="shared" si="24"/>
        <v>Текущие счета юридических лиц</v>
      </c>
      <c r="F200" s="3" t="str">
        <f>"2"</f>
        <v>2</v>
      </c>
      <c r="G200" s="3" t="str">
        <f>"3"</f>
        <v>3</v>
      </c>
      <c r="H200" s="3" t="str">
        <f>"2"</f>
        <v>2</v>
      </c>
      <c r="I200" s="7">
        <v>109389073.06999999</v>
      </c>
    </row>
    <row r="201" spans="1:9" x14ac:dyDescent="0.25">
      <c r="A201" s="3">
        <v>194</v>
      </c>
      <c r="B201" s="4">
        <v>45289</v>
      </c>
      <c r="C201" s="3">
        <v>15</v>
      </c>
      <c r="D201" s="5" t="str">
        <f t="shared" si="23"/>
        <v>2203</v>
      </c>
      <c r="E201" s="6" t="str">
        <f t="shared" si="24"/>
        <v>Текущие счета юридических лиц</v>
      </c>
      <c r="F201" s="3" t="str">
        <f t="shared" ref="F201:F206" si="25">"1"</f>
        <v>1</v>
      </c>
      <c r="G201" s="3" t="str">
        <f>"5"</f>
        <v>5</v>
      </c>
      <c r="H201" s="3" t="str">
        <f>"2"</f>
        <v>2</v>
      </c>
      <c r="I201" s="7">
        <v>6538974346.0299997</v>
      </c>
    </row>
    <row r="202" spans="1:9" x14ac:dyDescent="0.25">
      <c r="A202" s="3">
        <v>195</v>
      </c>
      <c r="B202" s="4">
        <v>45289</v>
      </c>
      <c r="C202" s="3">
        <v>15</v>
      </c>
      <c r="D202" s="5" t="str">
        <f t="shared" si="23"/>
        <v>2203</v>
      </c>
      <c r="E202" s="6" t="str">
        <f t="shared" si="24"/>
        <v>Текущие счета юридических лиц</v>
      </c>
      <c r="F202" s="3" t="str">
        <f t="shared" si="25"/>
        <v>1</v>
      </c>
      <c r="G202" s="3" t="str">
        <f>"6"</f>
        <v>6</v>
      </c>
      <c r="H202" s="3" t="str">
        <f>"2"</f>
        <v>2</v>
      </c>
      <c r="I202" s="7">
        <v>1511935143.5899999</v>
      </c>
    </row>
    <row r="203" spans="1:9" x14ac:dyDescent="0.25">
      <c r="A203" s="3">
        <v>196</v>
      </c>
      <c r="B203" s="4">
        <v>45289</v>
      </c>
      <c r="C203" s="3">
        <v>15</v>
      </c>
      <c r="D203" s="5" t="str">
        <f t="shared" si="23"/>
        <v>2203</v>
      </c>
      <c r="E203" s="6" t="str">
        <f t="shared" si="24"/>
        <v>Текущие счета юридических лиц</v>
      </c>
      <c r="F203" s="3" t="str">
        <f t="shared" si="25"/>
        <v>1</v>
      </c>
      <c r="G203" s="3" t="str">
        <f>"7"</f>
        <v>7</v>
      </c>
      <c r="H203" s="3" t="str">
        <f>"3"</f>
        <v>3</v>
      </c>
      <c r="I203" s="7">
        <v>1415182924.1600001</v>
      </c>
    </row>
    <row r="204" spans="1:9" x14ac:dyDescent="0.25">
      <c r="A204" s="3">
        <v>197</v>
      </c>
      <c r="B204" s="4">
        <v>45289</v>
      </c>
      <c r="C204" s="3">
        <v>15</v>
      </c>
      <c r="D204" s="5" t="str">
        <f t="shared" si="23"/>
        <v>2203</v>
      </c>
      <c r="E204" s="6" t="str">
        <f t="shared" si="24"/>
        <v>Текущие счета юридических лиц</v>
      </c>
      <c r="F204" s="3" t="str">
        <f t="shared" si="25"/>
        <v>1</v>
      </c>
      <c r="G204" s="3" t="str">
        <f>"7"</f>
        <v>7</v>
      </c>
      <c r="H204" s="3" t="str">
        <f>"2"</f>
        <v>2</v>
      </c>
      <c r="I204" s="7">
        <v>76013333733.699997</v>
      </c>
    </row>
    <row r="205" spans="1:9" x14ac:dyDescent="0.25">
      <c r="A205" s="3">
        <v>198</v>
      </c>
      <c r="B205" s="4">
        <v>45289</v>
      </c>
      <c r="C205" s="3">
        <v>15</v>
      </c>
      <c r="D205" s="5" t="str">
        <f t="shared" si="23"/>
        <v>2203</v>
      </c>
      <c r="E205" s="6" t="str">
        <f t="shared" si="24"/>
        <v>Текущие счета юридических лиц</v>
      </c>
      <c r="F205" s="3" t="str">
        <f t="shared" si="25"/>
        <v>1</v>
      </c>
      <c r="G205" s="3" t="str">
        <f>"7"</f>
        <v>7</v>
      </c>
      <c r="H205" s="3" t="str">
        <f>"1"</f>
        <v>1</v>
      </c>
      <c r="I205" s="7">
        <v>70774995666.979996</v>
      </c>
    </row>
    <row r="206" spans="1:9" x14ac:dyDescent="0.25">
      <c r="A206" s="3">
        <v>199</v>
      </c>
      <c r="B206" s="4">
        <v>45289</v>
      </c>
      <c r="C206" s="3">
        <v>15</v>
      </c>
      <c r="D206" s="5" t="str">
        <f t="shared" si="23"/>
        <v>2203</v>
      </c>
      <c r="E206" s="6" t="str">
        <f t="shared" si="24"/>
        <v>Текущие счета юридических лиц</v>
      </c>
      <c r="F206" s="3" t="str">
        <f t="shared" si="25"/>
        <v>1</v>
      </c>
      <c r="G206" s="3" t="str">
        <f>"8"</f>
        <v>8</v>
      </c>
      <c r="H206" s="3" t="str">
        <f>"2"</f>
        <v>2</v>
      </c>
      <c r="I206" s="7">
        <v>83389443.269999996</v>
      </c>
    </row>
    <row r="207" spans="1:9" x14ac:dyDescent="0.25">
      <c r="A207" s="3">
        <v>200</v>
      </c>
      <c r="B207" s="4">
        <v>45289</v>
      </c>
      <c r="C207" s="3">
        <v>15</v>
      </c>
      <c r="D207" s="5" t="str">
        <f t="shared" si="23"/>
        <v>2203</v>
      </c>
      <c r="E207" s="6" t="str">
        <f t="shared" si="24"/>
        <v>Текущие счета юридических лиц</v>
      </c>
      <c r="F207" s="3" t="str">
        <f>"2"</f>
        <v>2</v>
      </c>
      <c r="G207" s="3" t="str">
        <f>"7"</f>
        <v>7</v>
      </c>
      <c r="H207" s="3" t="str">
        <f>"2"</f>
        <v>2</v>
      </c>
      <c r="I207" s="7">
        <v>9127227210.7800007</v>
      </c>
    </row>
    <row r="208" spans="1:9" x14ac:dyDescent="0.25">
      <c r="A208" s="3">
        <v>201</v>
      </c>
      <c r="B208" s="4">
        <v>45289</v>
      </c>
      <c r="C208" s="3">
        <v>15</v>
      </c>
      <c r="D208" s="5" t="str">
        <f t="shared" si="23"/>
        <v>2203</v>
      </c>
      <c r="E208" s="6" t="str">
        <f t="shared" si="24"/>
        <v>Текущие счета юридических лиц</v>
      </c>
      <c r="F208" s="3" t="str">
        <f>"2"</f>
        <v>2</v>
      </c>
      <c r="G208" s="3" t="str">
        <f>"1"</f>
        <v>1</v>
      </c>
      <c r="H208" s="3" t="str">
        <f>"2"</f>
        <v>2</v>
      </c>
      <c r="I208" s="7">
        <v>1040233759.1</v>
      </c>
    </row>
    <row r="209" spans="1:9" x14ac:dyDescent="0.25">
      <c r="A209" s="3">
        <v>202</v>
      </c>
      <c r="B209" s="4">
        <v>45289</v>
      </c>
      <c r="C209" s="3">
        <v>15</v>
      </c>
      <c r="D209" s="5" t="str">
        <f t="shared" si="23"/>
        <v>2203</v>
      </c>
      <c r="E209" s="6" t="str">
        <f t="shared" si="24"/>
        <v>Текущие счета юридических лиц</v>
      </c>
      <c r="F209" s="3" t="str">
        <f>"1"</f>
        <v>1</v>
      </c>
      <c r="G209" s="3" t="str">
        <f>"5"</f>
        <v>5</v>
      </c>
      <c r="H209" s="3" t="str">
        <f>"1"</f>
        <v>1</v>
      </c>
      <c r="I209" s="7">
        <v>1671828387.1800001</v>
      </c>
    </row>
    <row r="210" spans="1:9" x14ac:dyDescent="0.25">
      <c r="A210" s="3">
        <v>203</v>
      </c>
      <c r="B210" s="4">
        <v>45289</v>
      </c>
      <c r="C210" s="3">
        <v>15</v>
      </c>
      <c r="D210" s="5" t="str">
        <f t="shared" si="23"/>
        <v>2203</v>
      </c>
      <c r="E210" s="6" t="str">
        <f t="shared" si="24"/>
        <v>Текущие счета юридических лиц</v>
      </c>
      <c r="F210" s="3" t="str">
        <f>"2"</f>
        <v>2</v>
      </c>
      <c r="G210" s="3" t="str">
        <f>"1"</f>
        <v>1</v>
      </c>
      <c r="H210" s="3" t="str">
        <f>"1"</f>
        <v>1</v>
      </c>
      <c r="I210" s="7">
        <v>428663060.87</v>
      </c>
    </row>
    <row r="211" spans="1:9" x14ac:dyDescent="0.25">
      <c r="A211" s="3">
        <v>204</v>
      </c>
      <c r="B211" s="4">
        <v>45289</v>
      </c>
      <c r="C211" s="3">
        <v>15</v>
      </c>
      <c r="D211" s="5" t="str">
        <f t="shared" si="23"/>
        <v>2203</v>
      </c>
      <c r="E211" s="6" t="str">
        <f t="shared" si="24"/>
        <v>Текущие счета юридических лиц</v>
      </c>
      <c r="F211" s="3" t="str">
        <f>"1"</f>
        <v>1</v>
      </c>
      <c r="G211" s="3" t="str">
        <f>"4"</f>
        <v>4</v>
      </c>
      <c r="H211" s="3" t="str">
        <f>"1"</f>
        <v>1</v>
      </c>
      <c r="I211" s="7">
        <v>780705.63</v>
      </c>
    </row>
    <row r="212" spans="1:9" x14ac:dyDescent="0.25">
      <c r="A212" s="3">
        <v>205</v>
      </c>
      <c r="B212" s="4">
        <v>45289</v>
      </c>
      <c r="C212" s="3">
        <v>15</v>
      </c>
      <c r="D212" s="5" t="str">
        <f t="shared" si="23"/>
        <v>2203</v>
      </c>
      <c r="E212" s="6" t="str">
        <f t="shared" si="24"/>
        <v>Текущие счета юридических лиц</v>
      </c>
      <c r="F212" s="3" t="str">
        <f>"1"</f>
        <v>1</v>
      </c>
      <c r="G212" s="3" t="str">
        <f>"6"</f>
        <v>6</v>
      </c>
      <c r="H212" s="3" t="str">
        <f>"1"</f>
        <v>1</v>
      </c>
      <c r="I212" s="7">
        <v>1576623314.9400001</v>
      </c>
    </row>
    <row r="213" spans="1:9" x14ac:dyDescent="0.25">
      <c r="A213" s="3">
        <v>206</v>
      </c>
      <c r="B213" s="4">
        <v>45289</v>
      </c>
      <c r="C213" s="3">
        <v>15</v>
      </c>
      <c r="D213" s="5" t="str">
        <f t="shared" si="23"/>
        <v>2203</v>
      </c>
      <c r="E213" s="6" t="str">
        <f t="shared" si="24"/>
        <v>Текущие счета юридических лиц</v>
      </c>
      <c r="F213" s="3" t="str">
        <f>"1"</f>
        <v>1</v>
      </c>
      <c r="G213" s="3" t="str">
        <f>"5"</f>
        <v>5</v>
      </c>
      <c r="H213" s="3" t="str">
        <f>"3"</f>
        <v>3</v>
      </c>
      <c r="I213" s="7">
        <v>30726837.050000001</v>
      </c>
    </row>
    <row r="214" spans="1:9" x14ac:dyDescent="0.25">
      <c r="A214" s="3">
        <v>207</v>
      </c>
      <c r="B214" s="4">
        <v>45289</v>
      </c>
      <c r="C214" s="3">
        <v>15</v>
      </c>
      <c r="D214" s="5" t="str">
        <f t="shared" si="23"/>
        <v>2203</v>
      </c>
      <c r="E214" s="6" t="str">
        <f t="shared" si="24"/>
        <v>Текущие счета юридических лиц</v>
      </c>
      <c r="F214" s="3" t="str">
        <f>"2"</f>
        <v>2</v>
      </c>
      <c r="G214" s="3" t="str">
        <f>"7"</f>
        <v>7</v>
      </c>
      <c r="H214" s="3" t="str">
        <f>"3"</f>
        <v>3</v>
      </c>
      <c r="I214" s="7">
        <v>193868293.97999999</v>
      </c>
    </row>
    <row r="215" spans="1:9" x14ac:dyDescent="0.25">
      <c r="A215" s="3">
        <v>208</v>
      </c>
      <c r="B215" s="4">
        <v>45289</v>
      </c>
      <c r="C215" s="3">
        <v>15</v>
      </c>
      <c r="D215" s="5" t="str">
        <f t="shared" ref="D215:D220" si="26">"2204"</f>
        <v>2204</v>
      </c>
      <c r="E215" s="6" t="str">
        <f t="shared" ref="E215:E220" si="27">"Текущие счета физических лиц"</f>
        <v>Текущие счета физических лиц</v>
      </c>
      <c r="F215" s="3" t="str">
        <f>"2"</f>
        <v>2</v>
      </c>
      <c r="G215" s="3" t="str">
        <f t="shared" ref="G215:G236" si="28">"9"</f>
        <v>9</v>
      </c>
      <c r="H215" s="3" t="str">
        <f>"2"</f>
        <v>2</v>
      </c>
      <c r="I215" s="7">
        <v>32839086035.330002</v>
      </c>
    </row>
    <row r="216" spans="1:9" x14ac:dyDescent="0.25">
      <c r="A216" s="3">
        <v>209</v>
      </c>
      <c r="B216" s="4">
        <v>45289</v>
      </c>
      <c r="C216" s="3">
        <v>15</v>
      </c>
      <c r="D216" s="5" t="str">
        <f t="shared" si="26"/>
        <v>2204</v>
      </c>
      <c r="E216" s="6" t="str">
        <f t="shared" si="27"/>
        <v>Текущие счета физических лиц</v>
      </c>
      <c r="F216" s="3" t="str">
        <f>"2"</f>
        <v>2</v>
      </c>
      <c r="G216" s="3" t="str">
        <f t="shared" si="28"/>
        <v>9</v>
      </c>
      <c r="H216" s="3" t="str">
        <f>"1"</f>
        <v>1</v>
      </c>
      <c r="I216" s="7">
        <v>5191971689.0600004</v>
      </c>
    </row>
    <row r="217" spans="1:9" x14ac:dyDescent="0.25">
      <c r="A217" s="3">
        <v>210</v>
      </c>
      <c r="B217" s="4">
        <v>45289</v>
      </c>
      <c r="C217" s="3">
        <v>15</v>
      </c>
      <c r="D217" s="5" t="str">
        <f t="shared" si="26"/>
        <v>2204</v>
      </c>
      <c r="E217" s="6" t="str">
        <f t="shared" si="27"/>
        <v>Текущие счета физических лиц</v>
      </c>
      <c r="F217" s="3" t="str">
        <f>"1"</f>
        <v>1</v>
      </c>
      <c r="G217" s="3" t="str">
        <f t="shared" si="28"/>
        <v>9</v>
      </c>
      <c r="H217" s="3" t="str">
        <f>"1"</f>
        <v>1</v>
      </c>
      <c r="I217" s="7">
        <v>15117761222.02</v>
      </c>
    </row>
    <row r="218" spans="1:9" x14ac:dyDescent="0.25">
      <c r="A218" s="3">
        <v>211</v>
      </c>
      <c r="B218" s="4">
        <v>45289</v>
      </c>
      <c r="C218" s="3">
        <v>15</v>
      </c>
      <c r="D218" s="5" t="str">
        <f t="shared" si="26"/>
        <v>2204</v>
      </c>
      <c r="E218" s="6" t="str">
        <f t="shared" si="27"/>
        <v>Текущие счета физических лиц</v>
      </c>
      <c r="F218" s="3" t="str">
        <f>"1"</f>
        <v>1</v>
      </c>
      <c r="G218" s="3" t="str">
        <f t="shared" si="28"/>
        <v>9</v>
      </c>
      <c r="H218" s="3" t="str">
        <f>"3"</f>
        <v>3</v>
      </c>
      <c r="I218" s="7">
        <v>235791754.96000001</v>
      </c>
    </row>
    <row r="219" spans="1:9" x14ac:dyDescent="0.25">
      <c r="A219" s="3">
        <v>212</v>
      </c>
      <c r="B219" s="4">
        <v>45289</v>
      </c>
      <c r="C219" s="3">
        <v>15</v>
      </c>
      <c r="D219" s="5" t="str">
        <f t="shared" si="26"/>
        <v>2204</v>
      </c>
      <c r="E219" s="6" t="str">
        <f t="shared" si="27"/>
        <v>Текущие счета физических лиц</v>
      </c>
      <c r="F219" s="3" t="str">
        <f>"2"</f>
        <v>2</v>
      </c>
      <c r="G219" s="3" t="str">
        <f t="shared" si="28"/>
        <v>9</v>
      </c>
      <c r="H219" s="3" t="str">
        <f>"3"</f>
        <v>3</v>
      </c>
      <c r="I219" s="7">
        <v>132135022.56</v>
      </c>
    </row>
    <row r="220" spans="1:9" x14ac:dyDescent="0.25">
      <c r="A220" s="3">
        <v>213</v>
      </c>
      <c r="B220" s="4">
        <v>45289</v>
      </c>
      <c r="C220" s="3">
        <v>15</v>
      </c>
      <c r="D220" s="5" t="str">
        <f t="shared" si="26"/>
        <v>2204</v>
      </c>
      <c r="E220" s="6" t="str">
        <f t="shared" si="27"/>
        <v>Текущие счета физических лиц</v>
      </c>
      <c r="F220" s="3" t="str">
        <f>"1"</f>
        <v>1</v>
      </c>
      <c r="G220" s="3" t="str">
        <f t="shared" si="28"/>
        <v>9</v>
      </c>
      <c r="H220" s="3" t="str">
        <f>"2"</f>
        <v>2</v>
      </c>
      <c r="I220" s="7">
        <v>19171853037.23</v>
      </c>
    </row>
    <row r="221" spans="1:9" x14ac:dyDescent="0.25">
      <c r="A221" s="3">
        <v>214</v>
      </c>
      <c r="B221" s="4">
        <v>45289</v>
      </c>
      <c r="C221" s="3">
        <v>15</v>
      </c>
      <c r="D221" s="5" t="str">
        <f>"2206"</f>
        <v>2206</v>
      </c>
      <c r="E221" s="6" t="str">
        <f>"Краткосрочные вклады физических лиц"</f>
        <v>Краткосрочные вклады физических лиц</v>
      </c>
      <c r="F221" s="3" t="str">
        <f>"2"</f>
        <v>2</v>
      </c>
      <c r="G221" s="3" t="str">
        <f t="shared" si="28"/>
        <v>9</v>
      </c>
      <c r="H221" s="3" t="str">
        <f>"1"</f>
        <v>1</v>
      </c>
      <c r="I221" s="7">
        <v>6821332399.6300001</v>
      </c>
    </row>
    <row r="222" spans="1:9" x14ac:dyDescent="0.25">
      <c r="A222" s="3">
        <v>215</v>
      </c>
      <c r="B222" s="4">
        <v>45289</v>
      </c>
      <c r="C222" s="3">
        <v>15</v>
      </c>
      <c r="D222" s="5" t="str">
        <f>"2206"</f>
        <v>2206</v>
      </c>
      <c r="E222" s="6" t="str">
        <f>"Краткосрочные вклады физических лиц"</f>
        <v>Краткосрочные вклады физических лиц</v>
      </c>
      <c r="F222" s="3" t="str">
        <f>"1"</f>
        <v>1</v>
      </c>
      <c r="G222" s="3" t="str">
        <f t="shared" si="28"/>
        <v>9</v>
      </c>
      <c r="H222" s="3" t="str">
        <f>"2"</f>
        <v>2</v>
      </c>
      <c r="I222" s="7">
        <v>57586734281.470001</v>
      </c>
    </row>
    <row r="223" spans="1:9" x14ac:dyDescent="0.25">
      <c r="A223" s="3">
        <v>216</v>
      </c>
      <c r="B223" s="4">
        <v>45289</v>
      </c>
      <c r="C223" s="3">
        <v>15</v>
      </c>
      <c r="D223" s="5" t="str">
        <f>"2206"</f>
        <v>2206</v>
      </c>
      <c r="E223" s="6" t="str">
        <f>"Краткосрочные вклады физических лиц"</f>
        <v>Краткосрочные вклады физических лиц</v>
      </c>
      <c r="F223" s="3" t="str">
        <f>"1"</f>
        <v>1</v>
      </c>
      <c r="G223" s="3" t="str">
        <f t="shared" si="28"/>
        <v>9</v>
      </c>
      <c r="H223" s="3" t="str">
        <f>"1"</f>
        <v>1</v>
      </c>
      <c r="I223" s="7">
        <v>72746362142.399994</v>
      </c>
    </row>
    <row r="224" spans="1:9" x14ac:dyDescent="0.25">
      <c r="A224" s="3">
        <v>217</v>
      </c>
      <c r="B224" s="4">
        <v>45289</v>
      </c>
      <c r="C224" s="3">
        <v>15</v>
      </c>
      <c r="D224" s="5" t="str">
        <f>"2206"</f>
        <v>2206</v>
      </c>
      <c r="E224" s="6" t="str">
        <f>"Краткосрочные вклады физических лиц"</f>
        <v>Краткосрочные вклады физических лиц</v>
      </c>
      <c r="F224" s="3" t="str">
        <f>"2"</f>
        <v>2</v>
      </c>
      <c r="G224" s="3" t="str">
        <f t="shared" si="28"/>
        <v>9</v>
      </c>
      <c r="H224" s="3" t="str">
        <f>"2"</f>
        <v>2</v>
      </c>
      <c r="I224" s="7">
        <v>18346344915.650002</v>
      </c>
    </row>
    <row r="225" spans="1:9" x14ac:dyDescent="0.25">
      <c r="A225" s="3">
        <v>218</v>
      </c>
      <c r="B225" s="4">
        <v>45289</v>
      </c>
      <c r="C225" s="3">
        <v>15</v>
      </c>
      <c r="D225" s="5" t="str">
        <f>"2207"</f>
        <v>2207</v>
      </c>
      <c r="E225" s="6" t="str">
        <f>"Долгосрочные вклады физических лиц"</f>
        <v>Долгосрочные вклады физических лиц</v>
      </c>
      <c r="F225" s="3" t="str">
        <f>"1"</f>
        <v>1</v>
      </c>
      <c r="G225" s="3" t="str">
        <f t="shared" si="28"/>
        <v>9</v>
      </c>
      <c r="H225" s="3" t="str">
        <f>"1"</f>
        <v>1</v>
      </c>
      <c r="I225" s="7">
        <v>533470600.13</v>
      </c>
    </row>
    <row r="226" spans="1:9" x14ac:dyDescent="0.25">
      <c r="A226" s="3">
        <v>219</v>
      </c>
      <c r="B226" s="4">
        <v>45289</v>
      </c>
      <c r="C226" s="3">
        <v>15</v>
      </c>
      <c r="D226" s="5" t="str">
        <f>"2207"</f>
        <v>2207</v>
      </c>
      <c r="E226" s="6" t="str">
        <f>"Долгосрочные вклады физических лиц"</f>
        <v>Долгосрочные вклады физических лиц</v>
      </c>
      <c r="F226" s="3" t="str">
        <f>"1"</f>
        <v>1</v>
      </c>
      <c r="G226" s="3" t="str">
        <f t="shared" si="28"/>
        <v>9</v>
      </c>
      <c r="H226" s="3" t="str">
        <f>"2"</f>
        <v>2</v>
      </c>
      <c r="I226" s="7">
        <v>60645060352.57</v>
      </c>
    </row>
    <row r="227" spans="1:9" x14ac:dyDescent="0.25">
      <c r="A227" s="3">
        <v>220</v>
      </c>
      <c r="B227" s="4">
        <v>45289</v>
      </c>
      <c r="C227" s="3">
        <v>15</v>
      </c>
      <c r="D227" s="5" t="str">
        <f>"2207"</f>
        <v>2207</v>
      </c>
      <c r="E227" s="6" t="str">
        <f>"Долгосрочные вклады физических лиц"</f>
        <v>Долгосрочные вклады физических лиц</v>
      </c>
      <c r="F227" s="3" t="str">
        <f>"2"</f>
        <v>2</v>
      </c>
      <c r="G227" s="3" t="str">
        <f t="shared" si="28"/>
        <v>9</v>
      </c>
      <c r="H227" s="3" t="str">
        <f>"2"</f>
        <v>2</v>
      </c>
      <c r="I227" s="7">
        <v>1278299649.73</v>
      </c>
    </row>
    <row r="228" spans="1:9" x14ac:dyDescent="0.25">
      <c r="A228" s="3">
        <v>221</v>
      </c>
      <c r="B228" s="4">
        <v>45289</v>
      </c>
      <c r="C228" s="3">
        <v>15</v>
      </c>
      <c r="D228" s="5" t="str">
        <f>"2207"</f>
        <v>2207</v>
      </c>
      <c r="E228" s="6" t="str">
        <f>"Долгосрочные вклады физических лиц"</f>
        <v>Долгосрочные вклады физических лиц</v>
      </c>
      <c r="F228" s="3" t="str">
        <f>"2"</f>
        <v>2</v>
      </c>
      <c r="G228" s="3" t="str">
        <f t="shared" si="28"/>
        <v>9</v>
      </c>
      <c r="H228" s="3" t="str">
        <f>"1"</f>
        <v>1</v>
      </c>
      <c r="I228" s="7">
        <v>22983237.460000001</v>
      </c>
    </row>
    <row r="229" spans="1:9" x14ac:dyDescent="0.25">
      <c r="A229" s="3">
        <v>222</v>
      </c>
      <c r="B229" s="4">
        <v>45289</v>
      </c>
      <c r="C229" s="3">
        <v>15</v>
      </c>
      <c r="D229" s="5" t="str">
        <f>"2208"</f>
        <v>2208</v>
      </c>
      <c r="E229" s="6" t="str">
        <f>"Условные вклады физических лиц"</f>
        <v>Условные вклады физических лиц</v>
      </c>
      <c r="F229" s="3" t="str">
        <f>"1"</f>
        <v>1</v>
      </c>
      <c r="G229" s="3" t="str">
        <f t="shared" si="28"/>
        <v>9</v>
      </c>
      <c r="H229" s="3" t="str">
        <f>"1"</f>
        <v>1</v>
      </c>
      <c r="I229" s="7">
        <v>1167006.05</v>
      </c>
    </row>
    <row r="230" spans="1:9" x14ac:dyDescent="0.25">
      <c r="A230" s="3">
        <v>223</v>
      </c>
      <c r="B230" s="4">
        <v>45289</v>
      </c>
      <c r="C230" s="3">
        <v>15</v>
      </c>
      <c r="D230" s="5" t="str">
        <f>"2208"</f>
        <v>2208</v>
      </c>
      <c r="E230" s="6" t="str">
        <f>"Условные вклады физических лиц"</f>
        <v>Условные вклады физических лиц</v>
      </c>
      <c r="F230" s="3" t="str">
        <f>"1"</f>
        <v>1</v>
      </c>
      <c r="G230" s="3" t="str">
        <f t="shared" si="28"/>
        <v>9</v>
      </c>
      <c r="H230" s="3" t="str">
        <f>"2"</f>
        <v>2</v>
      </c>
      <c r="I230" s="7">
        <v>6354407.8799999999</v>
      </c>
    </row>
    <row r="231" spans="1:9" x14ac:dyDescent="0.25">
      <c r="A231" s="3">
        <v>224</v>
      </c>
      <c r="B231" s="4">
        <v>45289</v>
      </c>
      <c r="C231" s="3">
        <v>15</v>
      </c>
      <c r="D231" s="5" t="str">
        <f>"2213"</f>
        <v>2213</v>
      </c>
      <c r="E231" s="6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31" s="3" t="str">
        <f>"1"</f>
        <v>1</v>
      </c>
      <c r="G231" s="3" t="str">
        <f t="shared" si="28"/>
        <v>9</v>
      </c>
      <c r="H231" s="3" t="str">
        <f>"1"</f>
        <v>1</v>
      </c>
      <c r="I231" s="7">
        <v>1390233.26</v>
      </c>
    </row>
    <row r="232" spans="1:9" x14ac:dyDescent="0.25">
      <c r="A232" s="3">
        <v>225</v>
      </c>
      <c r="B232" s="4">
        <v>45289</v>
      </c>
      <c r="C232" s="3">
        <v>15</v>
      </c>
      <c r="D232" s="5" t="str">
        <f>"2213"</f>
        <v>2213</v>
      </c>
      <c r="E232" s="6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32" s="3" t="str">
        <f>"1"</f>
        <v>1</v>
      </c>
      <c r="G232" s="3" t="str">
        <f t="shared" si="28"/>
        <v>9</v>
      </c>
      <c r="H232" s="3" t="str">
        <f>"2"</f>
        <v>2</v>
      </c>
      <c r="I232" s="7">
        <v>258843105.44</v>
      </c>
    </row>
    <row r="233" spans="1:9" x14ac:dyDescent="0.25">
      <c r="A233" s="3">
        <v>226</v>
      </c>
      <c r="B233" s="4">
        <v>45289</v>
      </c>
      <c r="C233" s="3">
        <v>15</v>
      </c>
      <c r="D233" s="5" t="str">
        <f>"2214"</f>
        <v>2214</v>
      </c>
      <c r="E233" s="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33" s="3" t="str">
        <f>"1"</f>
        <v>1</v>
      </c>
      <c r="G233" s="3" t="str">
        <f t="shared" si="28"/>
        <v>9</v>
      </c>
      <c r="H233" s="3" t="str">
        <f>"1"</f>
        <v>1</v>
      </c>
      <c r="I233" s="7">
        <v>34489830420.129997</v>
      </c>
    </row>
    <row r="234" spans="1:9" x14ac:dyDescent="0.25">
      <c r="A234" s="3">
        <v>227</v>
      </c>
      <c r="B234" s="4">
        <v>45289</v>
      </c>
      <c r="C234" s="3">
        <v>15</v>
      </c>
      <c r="D234" s="5" t="str">
        <f>"2214"</f>
        <v>2214</v>
      </c>
      <c r="E234" s="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34" s="3" t="str">
        <f>"2"</f>
        <v>2</v>
      </c>
      <c r="G234" s="3" t="str">
        <f t="shared" si="28"/>
        <v>9</v>
      </c>
      <c r="H234" s="3" t="str">
        <f>"1"</f>
        <v>1</v>
      </c>
      <c r="I234" s="7">
        <v>1703821533.7</v>
      </c>
    </row>
    <row r="235" spans="1:9" x14ac:dyDescent="0.25">
      <c r="A235" s="3">
        <v>228</v>
      </c>
      <c r="B235" s="4">
        <v>45289</v>
      </c>
      <c r="C235" s="3">
        <v>15</v>
      </c>
      <c r="D235" s="5" t="str">
        <f>"2214"</f>
        <v>2214</v>
      </c>
      <c r="E235" s="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35" s="3" t="str">
        <f>"2"</f>
        <v>2</v>
      </c>
      <c r="G235" s="3" t="str">
        <f t="shared" si="28"/>
        <v>9</v>
      </c>
      <c r="H235" s="3" t="str">
        <f>"2"</f>
        <v>2</v>
      </c>
      <c r="I235" s="7">
        <v>9091200</v>
      </c>
    </row>
    <row r="236" spans="1:9" x14ac:dyDescent="0.25">
      <c r="A236" s="3">
        <v>229</v>
      </c>
      <c r="B236" s="4">
        <v>45289</v>
      </c>
      <c r="C236" s="3">
        <v>15</v>
      </c>
      <c r="D236" s="5" t="str">
        <f>"2214"</f>
        <v>2214</v>
      </c>
      <c r="E236" s="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36" s="3" t="str">
        <f>"1"</f>
        <v>1</v>
      </c>
      <c r="G236" s="3" t="str">
        <f t="shared" si="28"/>
        <v>9</v>
      </c>
      <c r="H236" s="3" t="str">
        <f>"2"</f>
        <v>2</v>
      </c>
      <c r="I236" s="7">
        <v>413125674.13</v>
      </c>
    </row>
    <row r="237" spans="1:9" x14ac:dyDescent="0.25">
      <c r="A237" s="3">
        <v>230</v>
      </c>
      <c r="B237" s="4">
        <v>45289</v>
      </c>
      <c r="C237" s="3">
        <v>15</v>
      </c>
      <c r="D237" s="5" t="str">
        <f t="shared" ref="D237:D244" si="29">"2215"</f>
        <v>2215</v>
      </c>
      <c r="E237" s="6" t="str">
        <f t="shared" ref="E237:E244" si="30">"Краткосрочные вклады юридических лиц"</f>
        <v>Краткосрочные вклады юридических лиц</v>
      </c>
      <c r="F237" s="3" t="str">
        <f>"1"</f>
        <v>1</v>
      </c>
      <c r="G237" s="3" t="str">
        <f>"6"</f>
        <v>6</v>
      </c>
      <c r="H237" s="3" t="str">
        <f>"1"</f>
        <v>1</v>
      </c>
      <c r="I237" s="7">
        <v>15236724266.540001</v>
      </c>
    </row>
    <row r="238" spans="1:9" x14ac:dyDescent="0.25">
      <c r="A238" s="3">
        <v>231</v>
      </c>
      <c r="B238" s="4">
        <v>45289</v>
      </c>
      <c r="C238" s="3">
        <v>15</v>
      </c>
      <c r="D238" s="5" t="str">
        <f t="shared" si="29"/>
        <v>2215</v>
      </c>
      <c r="E238" s="6" t="str">
        <f t="shared" si="30"/>
        <v>Краткосрочные вклады юридических лиц</v>
      </c>
      <c r="F238" s="3" t="str">
        <f>"1"</f>
        <v>1</v>
      </c>
      <c r="G238" s="3" t="str">
        <f>"5"</f>
        <v>5</v>
      </c>
      <c r="H238" s="3" t="str">
        <f>"1"</f>
        <v>1</v>
      </c>
      <c r="I238" s="7">
        <v>5947677423.7399998</v>
      </c>
    </row>
    <row r="239" spans="1:9" x14ac:dyDescent="0.25">
      <c r="A239" s="3">
        <v>232</v>
      </c>
      <c r="B239" s="4">
        <v>45289</v>
      </c>
      <c r="C239" s="3">
        <v>15</v>
      </c>
      <c r="D239" s="5" t="str">
        <f t="shared" si="29"/>
        <v>2215</v>
      </c>
      <c r="E239" s="6" t="str">
        <f t="shared" si="30"/>
        <v>Краткосрочные вклады юридических лиц</v>
      </c>
      <c r="F239" s="3" t="str">
        <f>"1"</f>
        <v>1</v>
      </c>
      <c r="G239" s="3" t="str">
        <f>"7"</f>
        <v>7</v>
      </c>
      <c r="H239" s="3" t="str">
        <f>"1"</f>
        <v>1</v>
      </c>
      <c r="I239" s="7">
        <v>71026107369.369995</v>
      </c>
    </row>
    <row r="240" spans="1:9" x14ac:dyDescent="0.25">
      <c r="A240" s="3">
        <v>233</v>
      </c>
      <c r="B240" s="4">
        <v>45289</v>
      </c>
      <c r="C240" s="3">
        <v>15</v>
      </c>
      <c r="D240" s="5" t="str">
        <f t="shared" si="29"/>
        <v>2215</v>
      </c>
      <c r="E240" s="6" t="str">
        <f t="shared" si="30"/>
        <v>Краткосрочные вклады юридических лиц</v>
      </c>
      <c r="F240" s="3" t="str">
        <f>"1"</f>
        <v>1</v>
      </c>
      <c r="G240" s="3" t="str">
        <f>"7"</f>
        <v>7</v>
      </c>
      <c r="H240" s="3" t="str">
        <f>"2"</f>
        <v>2</v>
      </c>
      <c r="I240" s="7">
        <v>30839853461.91</v>
      </c>
    </row>
    <row r="241" spans="1:9" x14ac:dyDescent="0.25">
      <c r="A241" s="3">
        <v>234</v>
      </c>
      <c r="B241" s="4">
        <v>45289</v>
      </c>
      <c r="C241" s="3">
        <v>15</v>
      </c>
      <c r="D241" s="5" t="str">
        <f t="shared" si="29"/>
        <v>2215</v>
      </c>
      <c r="E241" s="6" t="str">
        <f t="shared" si="30"/>
        <v>Краткосрочные вклады юридических лиц</v>
      </c>
      <c r="F241" s="3" t="str">
        <f>"2"</f>
        <v>2</v>
      </c>
      <c r="G241" s="3" t="str">
        <f>"7"</f>
        <v>7</v>
      </c>
      <c r="H241" s="3" t="str">
        <f>"2"</f>
        <v>2</v>
      </c>
      <c r="I241" s="7">
        <v>1508314946.3499999</v>
      </c>
    </row>
    <row r="242" spans="1:9" x14ac:dyDescent="0.25">
      <c r="A242" s="3">
        <v>235</v>
      </c>
      <c r="B242" s="4">
        <v>45289</v>
      </c>
      <c r="C242" s="3">
        <v>15</v>
      </c>
      <c r="D242" s="5" t="str">
        <f t="shared" si="29"/>
        <v>2215</v>
      </c>
      <c r="E242" s="6" t="str">
        <f t="shared" si="30"/>
        <v>Краткосрочные вклады юридических лиц</v>
      </c>
      <c r="F242" s="3" t="str">
        <f>"1"</f>
        <v>1</v>
      </c>
      <c r="G242" s="3" t="str">
        <f>"8"</f>
        <v>8</v>
      </c>
      <c r="H242" s="3" t="str">
        <f>"2"</f>
        <v>2</v>
      </c>
      <c r="I242" s="7">
        <v>495389211.04000002</v>
      </c>
    </row>
    <row r="243" spans="1:9" x14ac:dyDescent="0.25">
      <c r="A243" s="3">
        <v>236</v>
      </c>
      <c r="B243" s="4">
        <v>45289</v>
      </c>
      <c r="C243" s="3">
        <v>15</v>
      </c>
      <c r="D243" s="5" t="str">
        <f t="shared" si="29"/>
        <v>2215</v>
      </c>
      <c r="E243" s="6" t="str">
        <f t="shared" si="30"/>
        <v>Краткосрочные вклады юридических лиц</v>
      </c>
      <c r="F243" s="3" t="str">
        <f>"1"</f>
        <v>1</v>
      </c>
      <c r="G243" s="3" t="str">
        <f>"5"</f>
        <v>5</v>
      </c>
      <c r="H243" s="3" t="str">
        <f>"2"</f>
        <v>2</v>
      </c>
      <c r="I243" s="7">
        <v>2207390888.79</v>
      </c>
    </row>
    <row r="244" spans="1:9" x14ac:dyDescent="0.25">
      <c r="A244" s="3">
        <v>237</v>
      </c>
      <c r="B244" s="4">
        <v>45289</v>
      </c>
      <c r="C244" s="3">
        <v>15</v>
      </c>
      <c r="D244" s="5" t="str">
        <f t="shared" si="29"/>
        <v>2215</v>
      </c>
      <c r="E244" s="6" t="str">
        <f t="shared" si="30"/>
        <v>Краткосрочные вклады юридических лиц</v>
      </c>
      <c r="F244" s="3" t="str">
        <f>"2"</f>
        <v>2</v>
      </c>
      <c r="G244" s="3" t="str">
        <f>"7"</f>
        <v>7</v>
      </c>
      <c r="H244" s="3" t="str">
        <f>"1"</f>
        <v>1</v>
      </c>
      <c r="I244" s="7">
        <v>680000000</v>
      </c>
    </row>
    <row r="245" spans="1:9" x14ac:dyDescent="0.25">
      <c r="A245" s="3">
        <v>238</v>
      </c>
      <c r="B245" s="4">
        <v>45289</v>
      </c>
      <c r="C245" s="3">
        <v>15</v>
      </c>
      <c r="D245" s="5" t="str">
        <f>"2217"</f>
        <v>2217</v>
      </c>
      <c r="E245" s="6" t="str">
        <f>"Долгосрочные вклады юридических лиц"</f>
        <v>Долгосрочные вклады юридических лиц</v>
      </c>
      <c r="F245" s="3" t="str">
        <f t="shared" ref="F245:F256" si="31">"1"</f>
        <v>1</v>
      </c>
      <c r="G245" s="3" t="str">
        <f>"7"</f>
        <v>7</v>
      </c>
      <c r="H245" s="3" t="str">
        <f>"2"</f>
        <v>2</v>
      </c>
      <c r="I245" s="7">
        <v>10859196078.610001</v>
      </c>
    </row>
    <row r="246" spans="1:9" x14ac:dyDescent="0.25">
      <c r="A246" s="3">
        <v>239</v>
      </c>
      <c r="B246" s="4">
        <v>45289</v>
      </c>
      <c r="C246" s="3">
        <v>15</v>
      </c>
      <c r="D246" s="5" t="str">
        <f>"2217"</f>
        <v>2217</v>
      </c>
      <c r="E246" s="6" t="str">
        <f>"Долгосрочные вклады юридических лиц"</f>
        <v>Долгосрочные вклады юридических лиц</v>
      </c>
      <c r="F246" s="3" t="str">
        <f t="shared" si="31"/>
        <v>1</v>
      </c>
      <c r="G246" s="3" t="str">
        <f>"7"</f>
        <v>7</v>
      </c>
      <c r="H246" s="3" t="str">
        <f>"1"</f>
        <v>1</v>
      </c>
      <c r="I246" s="7">
        <v>40000000</v>
      </c>
    </row>
    <row r="247" spans="1:9" x14ac:dyDescent="0.25">
      <c r="A247" s="3">
        <v>240</v>
      </c>
      <c r="B247" s="4">
        <v>45289</v>
      </c>
      <c r="C247" s="3">
        <v>15</v>
      </c>
      <c r="D247" s="5" t="str">
        <f>"2217"</f>
        <v>2217</v>
      </c>
      <c r="E247" s="6" t="str">
        <f>"Долгосрочные вклады юридических лиц"</f>
        <v>Долгосрочные вклады юридических лиц</v>
      </c>
      <c r="F247" s="3" t="str">
        <f t="shared" si="31"/>
        <v>1</v>
      </c>
      <c r="G247" s="3" t="str">
        <f>"5"</f>
        <v>5</v>
      </c>
      <c r="H247" s="3" t="str">
        <f>"1"</f>
        <v>1</v>
      </c>
      <c r="I247" s="7">
        <v>153504163.53</v>
      </c>
    </row>
    <row r="248" spans="1:9" x14ac:dyDescent="0.25">
      <c r="A248" s="3">
        <v>241</v>
      </c>
      <c r="B248" s="4">
        <v>45289</v>
      </c>
      <c r="C248" s="3">
        <v>15</v>
      </c>
      <c r="D248" s="5" t="str">
        <f>"2219"</f>
        <v>2219</v>
      </c>
      <c r="E248" s="6" t="str">
        <f>"Условные вклады юридических лиц"</f>
        <v>Условные вклады юридических лиц</v>
      </c>
      <c r="F248" s="3" t="str">
        <f t="shared" si="31"/>
        <v>1</v>
      </c>
      <c r="G248" s="3" t="str">
        <f>"7"</f>
        <v>7</v>
      </c>
      <c r="H248" s="3" t="str">
        <f>"1"</f>
        <v>1</v>
      </c>
      <c r="I248" s="7">
        <v>3330890710</v>
      </c>
    </row>
    <row r="249" spans="1:9" x14ac:dyDescent="0.25">
      <c r="A249" s="3">
        <v>242</v>
      </c>
      <c r="B249" s="4">
        <v>45289</v>
      </c>
      <c r="C249" s="3">
        <v>15</v>
      </c>
      <c r="D249" s="5" t="str">
        <f>"2219"</f>
        <v>2219</v>
      </c>
      <c r="E249" s="6" t="str">
        <f>"Условные вклады юридических лиц"</f>
        <v>Условные вклады юридических лиц</v>
      </c>
      <c r="F249" s="3" t="str">
        <f t="shared" si="31"/>
        <v>1</v>
      </c>
      <c r="G249" s="3" t="str">
        <f>"7"</f>
        <v>7</v>
      </c>
      <c r="H249" s="3" t="str">
        <f>"2"</f>
        <v>2</v>
      </c>
      <c r="I249" s="7">
        <v>2680710957.2800002</v>
      </c>
    </row>
    <row r="250" spans="1:9" x14ac:dyDescent="0.25">
      <c r="A250" s="3">
        <v>243</v>
      </c>
      <c r="B250" s="4">
        <v>45289</v>
      </c>
      <c r="C250" s="3">
        <v>15</v>
      </c>
      <c r="D250" s="5" t="str">
        <f>"2223"</f>
        <v>2223</v>
      </c>
      <c r="E250" s="6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250" s="3" t="str">
        <f t="shared" si="31"/>
        <v>1</v>
      </c>
      <c r="G250" s="3" t="str">
        <f>"5"</f>
        <v>5</v>
      </c>
      <c r="H250" s="3" t="str">
        <f>"2"</f>
        <v>2</v>
      </c>
      <c r="I250" s="7">
        <v>7707641677.5500002</v>
      </c>
    </row>
    <row r="251" spans="1:9" x14ac:dyDescent="0.25">
      <c r="A251" s="3">
        <v>244</v>
      </c>
      <c r="B251" s="4">
        <v>45289</v>
      </c>
      <c r="C251" s="3">
        <v>15</v>
      </c>
      <c r="D251" s="5" t="str">
        <f>"2223"</f>
        <v>2223</v>
      </c>
      <c r="E251" s="6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251" s="3" t="str">
        <f t="shared" si="31"/>
        <v>1</v>
      </c>
      <c r="G251" s="3" t="str">
        <f>"7"</f>
        <v>7</v>
      </c>
      <c r="H251" s="3" t="str">
        <f>"1"</f>
        <v>1</v>
      </c>
      <c r="I251" s="7">
        <v>209150000</v>
      </c>
    </row>
    <row r="252" spans="1:9" x14ac:dyDescent="0.25">
      <c r="A252" s="3">
        <v>245</v>
      </c>
      <c r="B252" s="4">
        <v>45289</v>
      </c>
      <c r="C252" s="3">
        <v>15</v>
      </c>
      <c r="D252" s="5" t="str">
        <f>"2227"</f>
        <v>2227</v>
      </c>
      <c r="E252" s="6" t="str">
        <f>"Обязательства по аренде"</f>
        <v>Обязательства по аренде</v>
      </c>
      <c r="F252" s="3" t="str">
        <f t="shared" si="31"/>
        <v>1</v>
      </c>
      <c r="G252" s="3" t="str">
        <f>"9"</f>
        <v>9</v>
      </c>
      <c r="H252" s="3" t="str">
        <f>"1"</f>
        <v>1</v>
      </c>
      <c r="I252" s="7">
        <v>120917249.12</v>
      </c>
    </row>
    <row r="253" spans="1:9" x14ac:dyDescent="0.25">
      <c r="A253" s="3">
        <v>246</v>
      </c>
      <c r="B253" s="4">
        <v>45289</v>
      </c>
      <c r="C253" s="3">
        <v>15</v>
      </c>
      <c r="D253" s="5" t="str">
        <f>"2227"</f>
        <v>2227</v>
      </c>
      <c r="E253" s="6" t="str">
        <f>"Обязательства по аренде"</f>
        <v>Обязательства по аренде</v>
      </c>
      <c r="F253" s="3" t="str">
        <f t="shared" si="31"/>
        <v>1</v>
      </c>
      <c r="G253" s="3" t="str">
        <f>"7"</f>
        <v>7</v>
      </c>
      <c r="H253" s="3" t="str">
        <f>"1"</f>
        <v>1</v>
      </c>
      <c r="I253" s="7">
        <v>448050184.12</v>
      </c>
    </row>
    <row r="254" spans="1:9" x14ac:dyDescent="0.25">
      <c r="A254" s="3">
        <v>247</v>
      </c>
      <c r="B254" s="4">
        <v>45289</v>
      </c>
      <c r="C254" s="3">
        <v>15</v>
      </c>
      <c r="D254" s="5" t="str">
        <f>"2229"</f>
        <v>2229</v>
      </c>
      <c r="E254" s="6" t="str">
        <f>"Сберегательные вклады физических лиц (более одного года)"</f>
        <v>Сберегательные вклады физических лиц (более одного года)</v>
      </c>
      <c r="F254" s="3" t="str">
        <f t="shared" si="31"/>
        <v>1</v>
      </c>
      <c r="G254" s="3" t="str">
        <f>"9"</f>
        <v>9</v>
      </c>
      <c r="H254" s="3" t="str">
        <f>"1"</f>
        <v>1</v>
      </c>
      <c r="I254" s="7">
        <v>103499304.34</v>
      </c>
    </row>
    <row r="255" spans="1:9" x14ac:dyDescent="0.25">
      <c r="A255" s="3">
        <v>248</v>
      </c>
      <c r="B255" s="4">
        <v>45289</v>
      </c>
      <c r="C255" s="3">
        <v>15</v>
      </c>
      <c r="D255" s="5" t="str">
        <f>"2229"</f>
        <v>2229</v>
      </c>
      <c r="E255" s="6" t="str">
        <f>"Сберегательные вклады физических лиц (более одного года)"</f>
        <v>Сберегательные вклады физических лиц (более одного года)</v>
      </c>
      <c r="F255" s="3" t="str">
        <f t="shared" si="31"/>
        <v>1</v>
      </c>
      <c r="G255" s="3" t="str">
        <f>"9"</f>
        <v>9</v>
      </c>
      <c r="H255" s="3" t="str">
        <f>"2"</f>
        <v>2</v>
      </c>
      <c r="I255" s="7">
        <v>54577960.079999998</v>
      </c>
    </row>
    <row r="256" spans="1:9" x14ac:dyDescent="0.25">
      <c r="A256" s="3">
        <v>249</v>
      </c>
      <c r="B256" s="4">
        <v>45289</v>
      </c>
      <c r="C256" s="3">
        <v>15</v>
      </c>
      <c r="D256" s="5" t="str">
        <f t="shared" ref="D256:D269" si="32">"2237"</f>
        <v>2237</v>
      </c>
      <c r="E256" s="6" t="str">
        <f t="shared" ref="E256:E269" si="3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56" s="3" t="str">
        <f t="shared" si="31"/>
        <v>1</v>
      </c>
      <c r="G256" s="3" t="str">
        <f>"7"</f>
        <v>7</v>
      </c>
      <c r="H256" s="3" t="str">
        <f>"1"</f>
        <v>1</v>
      </c>
      <c r="I256" s="7">
        <v>616462243.28999996</v>
      </c>
    </row>
    <row r="257" spans="1:9" x14ac:dyDescent="0.25">
      <c r="A257" s="3">
        <v>250</v>
      </c>
      <c r="B257" s="4">
        <v>45289</v>
      </c>
      <c r="C257" s="3">
        <v>15</v>
      </c>
      <c r="D257" s="5" t="str">
        <f t="shared" si="32"/>
        <v>2237</v>
      </c>
      <c r="E257" s="6" t="str">
        <f t="shared" si="33"/>
        <v>Счет хранения указаний отправителя в соответствии с валютным законодательством Республики Казахстан</v>
      </c>
      <c r="F257" s="3" t="str">
        <f>"2"</f>
        <v>2</v>
      </c>
      <c r="G257" s="3" t="str">
        <f>"9"</f>
        <v>9</v>
      </c>
      <c r="H257" s="3" t="str">
        <f>"1"</f>
        <v>1</v>
      </c>
      <c r="I257" s="7">
        <v>29818111.5</v>
      </c>
    </row>
    <row r="258" spans="1:9" x14ac:dyDescent="0.25">
      <c r="A258" s="3">
        <v>251</v>
      </c>
      <c r="B258" s="4">
        <v>45289</v>
      </c>
      <c r="C258" s="3">
        <v>15</v>
      </c>
      <c r="D258" s="5" t="str">
        <f t="shared" si="32"/>
        <v>2237</v>
      </c>
      <c r="E258" s="6" t="str">
        <f t="shared" si="33"/>
        <v>Счет хранения указаний отправителя в соответствии с валютным законодательством Республики Казахстан</v>
      </c>
      <c r="F258" s="3" t="str">
        <f>"2"</f>
        <v>2</v>
      </c>
      <c r="G258" s="3" t="str">
        <f>"7"</f>
        <v>7</v>
      </c>
      <c r="H258" s="3" t="str">
        <f>"2"</f>
        <v>2</v>
      </c>
      <c r="I258" s="7">
        <v>2606078764.5799999</v>
      </c>
    </row>
    <row r="259" spans="1:9" x14ac:dyDescent="0.25">
      <c r="A259" s="3">
        <v>252</v>
      </c>
      <c r="B259" s="4">
        <v>45289</v>
      </c>
      <c r="C259" s="3">
        <v>15</v>
      </c>
      <c r="D259" s="5" t="str">
        <f t="shared" si="32"/>
        <v>2237</v>
      </c>
      <c r="E259" s="6" t="str">
        <f t="shared" si="33"/>
        <v>Счет хранения указаний отправителя в соответствии с валютным законодательством Республики Казахстан</v>
      </c>
      <c r="F259" s="3" t="str">
        <f>"1"</f>
        <v>1</v>
      </c>
      <c r="G259" s="3" t="str">
        <f>"9"</f>
        <v>9</v>
      </c>
      <c r="H259" s="3" t="str">
        <f>"2"</f>
        <v>2</v>
      </c>
      <c r="I259" s="7">
        <v>140796982.59999999</v>
      </c>
    </row>
    <row r="260" spans="1:9" x14ac:dyDescent="0.25">
      <c r="A260" s="3">
        <v>253</v>
      </c>
      <c r="B260" s="4">
        <v>45289</v>
      </c>
      <c r="C260" s="3">
        <v>15</v>
      </c>
      <c r="D260" s="5" t="str">
        <f t="shared" si="32"/>
        <v>2237</v>
      </c>
      <c r="E260" s="6" t="str">
        <f t="shared" si="33"/>
        <v>Счет хранения указаний отправителя в соответствии с валютным законодательством Республики Казахстан</v>
      </c>
      <c r="F260" s="3" t="str">
        <f>"2"</f>
        <v>2</v>
      </c>
      <c r="G260" s="3" t="str">
        <f>"1"</f>
        <v>1</v>
      </c>
      <c r="H260" s="3" t="str">
        <f>"2"</f>
        <v>2</v>
      </c>
      <c r="I260" s="7">
        <v>1699580.16</v>
      </c>
    </row>
    <row r="261" spans="1:9" x14ac:dyDescent="0.25">
      <c r="A261" s="3">
        <v>254</v>
      </c>
      <c r="B261" s="4">
        <v>45289</v>
      </c>
      <c r="C261" s="3">
        <v>15</v>
      </c>
      <c r="D261" s="5" t="str">
        <f t="shared" si="32"/>
        <v>2237</v>
      </c>
      <c r="E261" s="6" t="str">
        <f t="shared" si="33"/>
        <v>Счет хранения указаний отправителя в соответствии с валютным законодательством Республики Казахстан</v>
      </c>
      <c r="F261" s="3" t="str">
        <f>"2"</f>
        <v>2</v>
      </c>
      <c r="G261" s="3" t="str">
        <f>"9"</f>
        <v>9</v>
      </c>
      <c r="H261" s="3" t="str">
        <f>"3"</f>
        <v>3</v>
      </c>
      <c r="I261" s="7">
        <v>121.44</v>
      </c>
    </row>
    <row r="262" spans="1:9" x14ac:dyDescent="0.25">
      <c r="A262" s="3">
        <v>255</v>
      </c>
      <c r="B262" s="4">
        <v>45289</v>
      </c>
      <c r="C262" s="3">
        <v>15</v>
      </c>
      <c r="D262" s="5" t="str">
        <f t="shared" si="32"/>
        <v>2237</v>
      </c>
      <c r="E262" s="6" t="str">
        <f t="shared" si="33"/>
        <v>Счет хранения указаний отправителя в соответствии с валютным законодательством Республики Казахстан</v>
      </c>
      <c r="F262" s="3" t="str">
        <f>"1"</f>
        <v>1</v>
      </c>
      <c r="G262" s="3" t="str">
        <f>"5"</f>
        <v>5</v>
      </c>
      <c r="H262" s="3" t="str">
        <f>"2"</f>
        <v>2</v>
      </c>
      <c r="I262" s="7">
        <v>42075300.909999996</v>
      </c>
    </row>
    <row r="263" spans="1:9" x14ac:dyDescent="0.25">
      <c r="A263" s="3">
        <v>256</v>
      </c>
      <c r="B263" s="4">
        <v>45289</v>
      </c>
      <c r="C263" s="3">
        <v>15</v>
      </c>
      <c r="D263" s="5" t="str">
        <f t="shared" si="32"/>
        <v>2237</v>
      </c>
      <c r="E263" s="6" t="str">
        <f t="shared" si="33"/>
        <v>Счет хранения указаний отправителя в соответствии с валютным законодательством Республики Казахстан</v>
      </c>
      <c r="F263" s="3" t="str">
        <f>"1"</f>
        <v>1</v>
      </c>
      <c r="G263" s="3" t="str">
        <f>"5"</f>
        <v>5</v>
      </c>
      <c r="H263" s="3" t="str">
        <f>"1"</f>
        <v>1</v>
      </c>
      <c r="I263" s="7">
        <v>5945341.9100000001</v>
      </c>
    </row>
    <row r="264" spans="1:9" x14ac:dyDescent="0.25">
      <c r="A264" s="3">
        <v>257</v>
      </c>
      <c r="B264" s="4">
        <v>45289</v>
      </c>
      <c r="C264" s="3">
        <v>15</v>
      </c>
      <c r="D264" s="5" t="str">
        <f t="shared" si="32"/>
        <v>2237</v>
      </c>
      <c r="E264" s="6" t="str">
        <f t="shared" si="33"/>
        <v>Счет хранения указаний отправителя в соответствии с валютным законодательством Республики Казахстан</v>
      </c>
      <c r="F264" s="3" t="str">
        <f>"1"</f>
        <v>1</v>
      </c>
      <c r="G264" s="3" t="str">
        <f>"6"</f>
        <v>6</v>
      </c>
      <c r="H264" s="3" t="str">
        <f>"1"</f>
        <v>1</v>
      </c>
      <c r="I264" s="7">
        <v>7374993</v>
      </c>
    </row>
    <row r="265" spans="1:9" x14ac:dyDescent="0.25">
      <c r="A265" s="3">
        <v>258</v>
      </c>
      <c r="B265" s="4">
        <v>45289</v>
      </c>
      <c r="C265" s="3">
        <v>15</v>
      </c>
      <c r="D265" s="5" t="str">
        <f t="shared" si="32"/>
        <v>2237</v>
      </c>
      <c r="E265" s="6" t="str">
        <f t="shared" si="33"/>
        <v>Счет хранения указаний отправителя в соответствии с валютным законодательством Республики Казахстан</v>
      </c>
      <c r="F265" s="3" t="str">
        <f>"1"</f>
        <v>1</v>
      </c>
      <c r="G265" s="3" t="str">
        <f>"9"</f>
        <v>9</v>
      </c>
      <c r="H265" s="3" t="str">
        <f>"1"</f>
        <v>1</v>
      </c>
      <c r="I265" s="7">
        <v>398029.87</v>
      </c>
    </row>
    <row r="266" spans="1:9" x14ac:dyDescent="0.25">
      <c r="A266" s="3">
        <v>259</v>
      </c>
      <c r="B266" s="4">
        <v>45289</v>
      </c>
      <c r="C266" s="3">
        <v>15</v>
      </c>
      <c r="D266" s="5" t="str">
        <f t="shared" si="32"/>
        <v>2237</v>
      </c>
      <c r="E266" s="6" t="str">
        <f t="shared" si="33"/>
        <v>Счет хранения указаний отправителя в соответствии с валютным законодательством Республики Казахстан</v>
      </c>
      <c r="F266" s="3" t="str">
        <f>"2"</f>
        <v>2</v>
      </c>
      <c r="G266" s="3" t="str">
        <f>"9"</f>
        <v>9</v>
      </c>
      <c r="H266" s="3" t="str">
        <f>"2"</f>
        <v>2</v>
      </c>
      <c r="I266" s="7">
        <v>85254943.709999993</v>
      </c>
    </row>
    <row r="267" spans="1:9" x14ac:dyDescent="0.25">
      <c r="A267" s="3">
        <v>260</v>
      </c>
      <c r="B267" s="4">
        <v>45289</v>
      </c>
      <c r="C267" s="3">
        <v>15</v>
      </c>
      <c r="D267" s="5" t="str">
        <f t="shared" si="32"/>
        <v>2237</v>
      </c>
      <c r="E267" s="6" t="str">
        <f t="shared" si="33"/>
        <v>Счет хранения указаний отправителя в соответствии с валютным законодательством Республики Казахстан</v>
      </c>
      <c r="F267" s="3" t="str">
        <f t="shared" ref="F267:F274" si="34">"1"</f>
        <v>1</v>
      </c>
      <c r="G267" s="3" t="str">
        <f>"9"</f>
        <v>9</v>
      </c>
      <c r="H267" s="3" t="str">
        <f>"3"</f>
        <v>3</v>
      </c>
      <c r="I267" s="7">
        <v>303600</v>
      </c>
    </row>
    <row r="268" spans="1:9" x14ac:dyDescent="0.25">
      <c r="A268" s="3">
        <v>261</v>
      </c>
      <c r="B268" s="4">
        <v>45289</v>
      </c>
      <c r="C268" s="3">
        <v>15</v>
      </c>
      <c r="D268" s="5" t="str">
        <f t="shared" si="32"/>
        <v>2237</v>
      </c>
      <c r="E268" s="6" t="str">
        <f t="shared" si="33"/>
        <v>Счет хранения указаний отправителя в соответствии с валютным законодательством Республики Казахстан</v>
      </c>
      <c r="F268" s="3" t="str">
        <f t="shared" si="34"/>
        <v>1</v>
      </c>
      <c r="G268" s="3" t="str">
        <f>"7"</f>
        <v>7</v>
      </c>
      <c r="H268" s="3" t="str">
        <f>"3"</f>
        <v>3</v>
      </c>
      <c r="I268" s="7">
        <v>883387447.00999999</v>
      </c>
    </row>
    <row r="269" spans="1:9" x14ac:dyDescent="0.25">
      <c r="A269" s="3">
        <v>262</v>
      </c>
      <c r="B269" s="4">
        <v>45289</v>
      </c>
      <c r="C269" s="3">
        <v>15</v>
      </c>
      <c r="D269" s="5" t="str">
        <f t="shared" si="32"/>
        <v>2237</v>
      </c>
      <c r="E269" s="6" t="str">
        <f t="shared" si="33"/>
        <v>Счет хранения указаний отправителя в соответствии с валютным законодательством Республики Казахстан</v>
      </c>
      <c r="F269" s="3" t="str">
        <f t="shared" si="34"/>
        <v>1</v>
      </c>
      <c r="G269" s="3" t="str">
        <f>"7"</f>
        <v>7</v>
      </c>
      <c r="H269" s="3" t="str">
        <f>"2"</f>
        <v>2</v>
      </c>
      <c r="I269" s="7">
        <v>8749324364.2000008</v>
      </c>
    </row>
    <row r="270" spans="1:9" x14ac:dyDescent="0.25">
      <c r="A270" s="3">
        <v>263</v>
      </c>
      <c r="B270" s="4">
        <v>45289</v>
      </c>
      <c r="C270" s="3">
        <v>15</v>
      </c>
      <c r="D270" s="5" t="str">
        <f>"2240"</f>
        <v>2240</v>
      </c>
      <c r="E270" s="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70" s="3" t="str">
        <f t="shared" si="34"/>
        <v>1</v>
      </c>
      <c r="G270" s="3" t="str">
        <f>"7"</f>
        <v>7</v>
      </c>
      <c r="H270" s="3" t="str">
        <f>"1"</f>
        <v>1</v>
      </c>
      <c r="I270" s="7">
        <v>983561289.63</v>
      </c>
    </row>
    <row r="271" spans="1:9" x14ac:dyDescent="0.25">
      <c r="A271" s="3">
        <v>264</v>
      </c>
      <c r="B271" s="4">
        <v>45289</v>
      </c>
      <c r="C271" s="3">
        <v>15</v>
      </c>
      <c r="D271" s="5" t="str">
        <f>"2240"</f>
        <v>2240</v>
      </c>
      <c r="E271" s="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71" s="3" t="str">
        <f t="shared" si="34"/>
        <v>1</v>
      </c>
      <c r="G271" s="3" t="str">
        <f>"9"</f>
        <v>9</v>
      </c>
      <c r="H271" s="3" t="str">
        <f>"1"</f>
        <v>1</v>
      </c>
      <c r="I271" s="7">
        <v>16685158</v>
      </c>
    </row>
    <row r="272" spans="1:9" x14ac:dyDescent="0.25">
      <c r="A272" s="3">
        <v>265</v>
      </c>
      <c r="B272" s="4">
        <v>45289</v>
      </c>
      <c r="C272" s="3">
        <v>15</v>
      </c>
      <c r="D272" s="5" t="str">
        <f>"2241"</f>
        <v>2241</v>
      </c>
      <c r="E272" s="6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272" s="3" t="str">
        <f t="shared" si="34"/>
        <v>1</v>
      </c>
      <c r="G272" s="3" t="str">
        <f>"9"</f>
        <v>9</v>
      </c>
      <c r="H272" s="3" t="str">
        <f>"2"</f>
        <v>2</v>
      </c>
      <c r="I272" s="7">
        <v>323827098.5</v>
      </c>
    </row>
    <row r="273" spans="1:9" x14ac:dyDescent="0.25">
      <c r="A273" s="3">
        <v>266</v>
      </c>
      <c r="B273" s="4">
        <v>45289</v>
      </c>
      <c r="C273" s="3">
        <v>15</v>
      </c>
      <c r="D273" s="5" t="str">
        <f>"2241"</f>
        <v>2241</v>
      </c>
      <c r="E273" s="6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273" s="3" t="str">
        <f t="shared" si="34"/>
        <v>1</v>
      </c>
      <c r="G273" s="3" t="str">
        <f>"9"</f>
        <v>9</v>
      </c>
      <c r="H273" s="3" t="str">
        <f t="shared" ref="H273:H282" si="35">"1"</f>
        <v>1</v>
      </c>
      <c r="I273" s="7">
        <v>10263433</v>
      </c>
    </row>
    <row r="274" spans="1:9" x14ac:dyDescent="0.25">
      <c r="A274" s="3">
        <v>267</v>
      </c>
      <c r="B274" s="4">
        <v>45289</v>
      </c>
      <c r="C274" s="3">
        <v>15</v>
      </c>
      <c r="D274" s="5" t="str">
        <f>"2255"</f>
        <v>2255</v>
      </c>
      <c r="E274" s="6" t="str">
        <f>"Операции «РЕПО» с ценными бумагами"</f>
        <v>Операции «РЕПО» с ценными бумагами</v>
      </c>
      <c r="F274" s="3" t="str">
        <f t="shared" si="34"/>
        <v>1</v>
      </c>
      <c r="G274" s="3" t="str">
        <f>"5"</f>
        <v>5</v>
      </c>
      <c r="H274" s="3" t="str">
        <f t="shared" si="35"/>
        <v>1</v>
      </c>
      <c r="I274" s="7">
        <v>66154963158.019997</v>
      </c>
    </row>
    <row r="275" spans="1:9" x14ac:dyDescent="0.25">
      <c r="A275" s="3">
        <v>268</v>
      </c>
      <c r="B275" s="4">
        <v>45289</v>
      </c>
      <c r="C275" s="3">
        <v>15</v>
      </c>
      <c r="D275" s="5" t="str">
        <f>"2552"</f>
        <v>2552</v>
      </c>
      <c r="E275" s="6" t="str">
        <f>"Расчеты с клиентами"</f>
        <v>Расчеты с клиентами</v>
      </c>
      <c r="F275" s="3" t="str">
        <f>"2"</f>
        <v>2</v>
      </c>
      <c r="G275" s="3" t="str">
        <f>"5"</f>
        <v>5</v>
      </c>
      <c r="H275" s="3" t="str">
        <f t="shared" si="35"/>
        <v>1</v>
      </c>
      <c r="I275" s="7">
        <v>4141203.87</v>
      </c>
    </row>
    <row r="276" spans="1:9" x14ac:dyDescent="0.25">
      <c r="A276" s="3">
        <v>269</v>
      </c>
      <c r="B276" s="4">
        <v>45289</v>
      </c>
      <c r="C276" s="3">
        <v>15</v>
      </c>
      <c r="D276" s="5" t="str">
        <f>"2706"</f>
        <v>2706</v>
      </c>
      <c r="E276" s="6" t="str">
        <f>"Начисленные расходы по займам и финансовому лизингу"</f>
        <v>Начисленные расходы по займам и финансовому лизингу</v>
      </c>
      <c r="F276" s="3" t="str">
        <f t="shared" ref="F276:F287" si="36">"1"</f>
        <v>1</v>
      </c>
      <c r="G276" s="3" t="str">
        <f>"5"</f>
        <v>5</v>
      </c>
      <c r="H276" s="3" t="str">
        <f t="shared" si="35"/>
        <v>1</v>
      </c>
      <c r="I276" s="7">
        <v>525000</v>
      </c>
    </row>
    <row r="277" spans="1:9" x14ac:dyDescent="0.25">
      <c r="A277" s="3">
        <v>270</v>
      </c>
      <c r="B277" s="4">
        <v>45289</v>
      </c>
      <c r="C277" s="3">
        <v>15</v>
      </c>
      <c r="D277" s="5" t="str">
        <f>"2712"</f>
        <v>2712</v>
      </c>
      <c r="E277" s="6" t="str">
        <f>"Начисленные расходы по срочным вкладам других банков"</f>
        <v>Начисленные расходы по срочным вкладам других банков</v>
      </c>
      <c r="F277" s="3" t="str">
        <f t="shared" si="36"/>
        <v>1</v>
      </c>
      <c r="G277" s="3" t="str">
        <f>"4"</f>
        <v>4</v>
      </c>
      <c r="H277" s="3" t="str">
        <f t="shared" si="35"/>
        <v>1</v>
      </c>
      <c r="I277" s="7">
        <v>3637500</v>
      </c>
    </row>
    <row r="278" spans="1:9" x14ac:dyDescent="0.25">
      <c r="A278" s="3">
        <v>271</v>
      </c>
      <c r="B278" s="4">
        <v>45289</v>
      </c>
      <c r="C278" s="3">
        <v>15</v>
      </c>
      <c r="D278" s="5" t="str">
        <f>"2718"</f>
        <v>2718</v>
      </c>
      <c r="E278" s="6" t="str">
        <f>"Начисленные расходы по текущим счетам клиентов"</f>
        <v>Начисленные расходы по текущим счетам клиентов</v>
      </c>
      <c r="F278" s="3" t="str">
        <f t="shared" si="36"/>
        <v>1</v>
      </c>
      <c r="G278" s="3" t="str">
        <f>"6"</f>
        <v>6</v>
      </c>
      <c r="H278" s="3" t="str">
        <f t="shared" si="35"/>
        <v>1</v>
      </c>
      <c r="I278" s="7">
        <v>1392321.11</v>
      </c>
    </row>
    <row r="279" spans="1:9" x14ac:dyDescent="0.25">
      <c r="A279" s="3">
        <v>272</v>
      </c>
      <c r="B279" s="4">
        <v>45289</v>
      </c>
      <c r="C279" s="3">
        <v>15</v>
      </c>
      <c r="D279" s="5" t="str">
        <f>"2718"</f>
        <v>2718</v>
      </c>
      <c r="E279" s="6" t="str">
        <f>"Начисленные расходы по текущим счетам клиентов"</f>
        <v>Начисленные расходы по текущим счетам клиентов</v>
      </c>
      <c r="F279" s="3" t="str">
        <f t="shared" si="36"/>
        <v>1</v>
      </c>
      <c r="G279" s="3" t="str">
        <f>"7"</f>
        <v>7</v>
      </c>
      <c r="H279" s="3" t="str">
        <f t="shared" si="35"/>
        <v>1</v>
      </c>
      <c r="I279" s="7">
        <v>1425819.06</v>
      </c>
    </row>
    <row r="280" spans="1:9" x14ac:dyDescent="0.25">
      <c r="A280" s="3">
        <v>273</v>
      </c>
      <c r="B280" s="4">
        <v>45289</v>
      </c>
      <c r="C280" s="3">
        <v>15</v>
      </c>
      <c r="D280" s="5" t="str">
        <f>"2718"</f>
        <v>2718</v>
      </c>
      <c r="E280" s="6" t="str">
        <f>"Начисленные расходы по текущим счетам клиентов"</f>
        <v>Начисленные расходы по текущим счетам клиентов</v>
      </c>
      <c r="F280" s="3" t="str">
        <f t="shared" si="36"/>
        <v>1</v>
      </c>
      <c r="G280" s="3" t="str">
        <f>"5"</f>
        <v>5</v>
      </c>
      <c r="H280" s="3" t="str">
        <f t="shared" si="35"/>
        <v>1</v>
      </c>
      <c r="I280" s="7">
        <v>1447374.35</v>
      </c>
    </row>
    <row r="281" spans="1:9" x14ac:dyDescent="0.25">
      <c r="A281" s="3">
        <v>274</v>
      </c>
      <c r="B281" s="4">
        <v>45289</v>
      </c>
      <c r="C281" s="3">
        <v>15</v>
      </c>
      <c r="D281" s="5" t="str">
        <f>"2718"</f>
        <v>2718</v>
      </c>
      <c r="E281" s="6" t="str">
        <f>"Начисленные расходы по текущим счетам клиентов"</f>
        <v>Начисленные расходы по текущим счетам клиентов</v>
      </c>
      <c r="F281" s="3" t="str">
        <f t="shared" si="36"/>
        <v>1</v>
      </c>
      <c r="G281" s="3" t="str">
        <f>"8"</f>
        <v>8</v>
      </c>
      <c r="H281" s="3" t="str">
        <f t="shared" si="35"/>
        <v>1</v>
      </c>
      <c r="I281" s="7">
        <v>15505.11</v>
      </c>
    </row>
    <row r="282" spans="1:9" x14ac:dyDescent="0.25">
      <c r="A282" s="3">
        <v>275</v>
      </c>
      <c r="B282" s="4">
        <v>45289</v>
      </c>
      <c r="C282" s="3">
        <v>15</v>
      </c>
      <c r="D282" s="5" t="str">
        <f>"2719"</f>
        <v>2719</v>
      </c>
      <c r="E282" s="6" t="str">
        <f>"Начисленные расходы по условным вкладам клиентов"</f>
        <v>Начисленные расходы по условным вкладам клиентов</v>
      </c>
      <c r="F282" s="3" t="str">
        <f t="shared" si="36"/>
        <v>1</v>
      </c>
      <c r="G282" s="3" t="str">
        <f>"9"</f>
        <v>9</v>
      </c>
      <c r="H282" s="3" t="str">
        <f t="shared" si="35"/>
        <v>1</v>
      </c>
      <c r="I282" s="7">
        <v>3487.59</v>
      </c>
    </row>
    <row r="283" spans="1:9" x14ac:dyDescent="0.25">
      <c r="A283" s="3">
        <v>276</v>
      </c>
      <c r="B283" s="4">
        <v>45289</v>
      </c>
      <c r="C283" s="3">
        <v>15</v>
      </c>
      <c r="D283" s="5" t="str">
        <f>"2719"</f>
        <v>2719</v>
      </c>
      <c r="E283" s="6" t="str">
        <f>"Начисленные расходы по условным вкладам клиентов"</f>
        <v>Начисленные расходы по условным вкладам клиентов</v>
      </c>
      <c r="F283" s="3" t="str">
        <f t="shared" si="36"/>
        <v>1</v>
      </c>
      <c r="G283" s="3" t="str">
        <f>"9"</f>
        <v>9</v>
      </c>
      <c r="H283" s="3" t="str">
        <f>"2"</f>
        <v>2</v>
      </c>
      <c r="I283" s="7">
        <v>1068.21</v>
      </c>
    </row>
    <row r="284" spans="1:9" x14ac:dyDescent="0.25">
      <c r="A284" s="3">
        <v>277</v>
      </c>
      <c r="B284" s="4">
        <v>45289</v>
      </c>
      <c r="C284" s="3">
        <v>15</v>
      </c>
      <c r="D284" s="5" t="str">
        <f>"2719"</f>
        <v>2719</v>
      </c>
      <c r="E284" s="6" t="str">
        <f>"Начисленные расходы по условным вкладам клиентов"</f>
        <v>Начисленные расходы по условным вкладам клиентов</v>
      </c>
      <c r="F284" s="3" t="str">
        <f t="shared" si="36"/>
        <v>1</v>
      </c>
      <c r="G284" s="3" t="str">
        <f>"7"</f>
        <v>7</v>
      </c>
      <c r="H284" s="3" t="str">
        <f>"2"</f>
        <v>2</v>
      </c>
      <c r="I284" s="7">
        <v>66097.570000000007</v>
      </c>
    </row>
    <row r="285" spans="1:9" x14ac:dyDescent="0.25">
      <c r="A285" s="3">
        <v>278</v>
      </c>
      <c r="B285" s="4">
        <v>45289</v>
      </c>
      <c r="C285" s="3">
        <v>15</v>
      </c>
      <c r="D285" s="5" t="str">
        <f>"2719"</f>
        <v>2719</v>
      </c>
      <c r="E285" s="6" t="str">
        <f>"Начисленные расходы по условным вкладам клиентов"</f>
        <v>Начисленные расходы по условным вкладам клиентов</v>
      </c>
      <c r="F285" s="3" t="str">
        <f t="shared" si="36"/>
        <v>1</v>
      </c>
      <c r="G285" s="3" t="str">
        <f>"7"</f>
        <v>7</v>
      </c>
      <c r="H285" s="3" t="str">
        <f>"1"</f>
        <v>1</v>
      </c>
      <c r="I285" s="7">
        <v>2983500.76</v>
      </c>
    </row>
    <row r="286" spans="1:9" x14ac:dyDescent="0.25">
      <c r="A286" s="3">
        <v>279</v>
      </c>
      <c r="B286" s="4">
        <v>45289</v>
      </c>
      <c r="C286" s="3">
        <v>15</v>
      </c>
      <c r="D286" s="5" t="str">
        <f t="shared" ref="D286:D297" si="37">"2721"</f>
        <v>2721</v>
      </c>
      <c r="E286" s="6" t="str">
        <f t="shared" ref="E286:E297" si="38">"Начисленные расходы по срочным вкладам клиентов"</f>
        <v>Начисленные расходы по срочным вкладам клиентов</v>
      </c>
      <c r="F286" s="3" t="str">
        <f t="shared" si="36"/>
        <v>1</v>
      </c>
      <c r="G286" s="3" t="str">
        <f>"5"</f>
        <v>5</v>
      </c>
      <c r="H286" s="3" t="str">
        <f>"1"</f>
        <v>1</v>
      </c>
      <c r="I286" s="7">
        <v>7434915.6500000004</v>
      </c>
    </row>
    <row r="287" spans="1:9" x14ac:dyDescent="0.25">
      <c r="A287" s="3">
        <v>280</v>
      </c>
      <c r="B287" s="4">
        <v>45289</v>
      </c>
      <c r="C287" s="3">
        <v>15</v>
      </c>
      <c r="D287" s="5" t="str">
        <f t="shared" si="37"/>
        <v>2721</v>
      </c>
      <c r="E287" s="6" t="str">
        <f t="shared" si="38"/>
        <v>Начисленные расходы по срочным вкладам клиентов</v>
      </c>
      <c r="F287" s="3" t="str">
        <f t="shared" si="36"/>
        <v>1</v>
      </c>
      <c r="G287" s="3" t="str">
        <f>"6"</f>
        <v>6</v>
      </c>
      <c r="H287" s="3" t="str">
        <f>"1"</f>
        <v>1</v>
      </c>
      <c r="I287" s="7">
        <v>19011452.210000001</v>
      </c>
    </row>
    <row r="288" spans="1:9" x14ac:dyDescent="0.25">
      <c r="A288" s="3">
        <v>281</v>
      </c>
      <c r="B288" s="4">
        <v>45289</v>
      </c>
      <c r="C288" s="3">
        <v>15</v>
      </c>
      <c r="D288" s="5" t="str">
        <f t="shared" si="37"/>
        <v>2721</v>
      </c>
      <c r="E288" s="6" t="str">
        <f t="shared" si="38"/>
        <v>Начисленные расходы по срочным вкладам клиентов</v>
      </c>
      <c r="F288" s="3" t="str">
        <f>"2"</f>
        <v>2</v>
      </c>
      <c r="G288" s="3" t="str">
        <f>"7"</f>
        <v>7</v>
      </c>
      <c r="H288" s="3" t="str">
        <f>"2"</f>
        <v>2</v>
      </c>
      <c r="I288" s="7">
        <v>1223348.24</v>
      </c>
    </row>
    <row r="289" spans="1:9" x14ac:dyDescent="0.25">
      <c r="A289" s="3">
        <v>282</v>
      </c>
      <c r="B289" s="4">
        <v>45289</v>
      </c>
      <c r="C289" s="3">
        <v>15</v>
      </c>
      <c r="D289" s="5" t="str">
        <f t="shared" si="37"/>
        <v>2721</v>
      </c>
      <c r="E289" s="6" t="str">
        <f t="shared" si="38"/>
        <v>Начисленные расходы по срочным вкладам клиентов</v>
      </c>
      <c r="F289" s="3" t="str">
        <f>"1"</f>
        <v>1</v>
      </c>
      <c r="G289" s="3" t="str">
        <f>"5"</f>
        <v>5</v>
      </c>
      <c r="H289" s="3" t="str">
        <f>"2"</f>
        <v>2</v>
      </c>
      <c r="I289" s="7">
        <v>960630.73</v>
      </c>
    </row>
    <row r="290" spans="1:9" x14ac:dyDescent="0.25">
      <c r="A290" s="3">
        <v>283</v>
      </c>
      <c r="B290" s="4">
        <v>45289</v>
      </c>
      <c r="C290" s="3">
        <v>15</v>
      </c>
      <c r="D290" s="5" t="str">
        <f t="shared" si="37"/>
        <v>2721</v>
      </c>
      <c r="E290" s="6" t="str">
        <f t="shared" si="38"/>
        <v>Начисленные расходы по срочным вкладам клиентов</v>
      </c>
      <c r="F290" s="3" t="str">
        <f>"2"</f>
        <v>2</v>
      </c>
      <c r="G290" s="3" t="str">
        <f>"9"</f>
        <v>9</v>
      </c>
      <c r="H290" s="3" t="str">
        <f>"1"</f>
        <v>1</v>
      </c>
      <c r="I290" s="7">
        <v>17567901.75</v>
      </c>
    </row>
    <row r="291" spans="1:9" x14ac:dyDescent="0.25">
      <c r="A291" s="3">
        <v>284</v>
      </c>
      <c r="B291" s="4">
        <v>45289</v>
      </c>
      <c r="C291" s="3">
        <v>15</v>
      </c>
      <c r="D291" s="5" t="str">
        <f t="shared" si="37"/>
        <v>2721</v>
      </c>
      <c r="E291" s="6" t="str">
        <f t="shared" si="38"/>
        <v>Начисленные расходы по срочным вкладам клиентов</v>
      </c>
      <c r="F291" s="3" t="str">
        <f>"1"</f>
        <v>1</v>
      </c>
      <c r="G291" s="3" t="str">
        <f>"9"</f>
        <v>9</v>
      </c>
      <c r="H291" s="3" t="str">
        <f>"2"</f>
        <v>2</v>
      </c>
      <c r="I291" s="7">
        <v>52388046.530000001</v>
      </c>
    </row>
    <row r="292" spans="1:9" x14ac:dyDescent="0.25">
      <c r="A292" s="3">
        <v>285</v>
      </c>
      <c r="B292" s="4">
        <v>45289</v>
      </c>
      <c r="C292" s="3">
        <v>15</v>
      </c>
      <c r="D292" s="5" t="str">
        <f t="shared" si="37"/>
        <v>2721</v>
      </c>
      <c r="E292" s="6" t="str">
        <f t="shared" si="38"/>
        <v>Начисленные расходы по срочным вкладам клиентов</v>
      </c>
      <c r="F292" s="3" t="str">
        <f>"1"</f>
        <v>1</v>
      </c>
      <c r="G292" s="3" t="str">
        <f>"7"</f>
        <v>7</v>
      </c>
      <c r="H292" s="3" t="str">
        <f>"2"</f>
        <v>2</v>
      </c>
      <c r="I292" s="7">
        <v>27991773.02</v>
      </c>
    </row>
    <row r="293" spans="1:9" x14ac:dyDescent="0.25">
      <c r="A293" s="3">
        <v>286</v>
      </c>
      <c r="B293" s="4">
        <v>45289</v>
      </c>
      <c r="C293" s="3">
        <v>15</v>
      </c>
      <c r="D293" s="5" t="str">
        <f t="shared" si="37"/>
        <v>2721</v>
      </c>
      <c r="E293" s="6" t="str">
        <f t="shared" si="38"/>
        <v>Начисленные расходы по срочным вкладам клиентов</v>
      </c>
      <c r="F293" s="3" t="str">
        <f>"1"</f>
        <v>1</v>
      </c>
      <c r="G293" s="3" t="str">
        <f>"8"</f>
        <v>8</v>
      </c>
      <c r="H293" s="3" t="str">
        <f>"2"</f>
        <v>2</v>
      </c>
      <c r="I293" s="7">
        <v>4072.86</v>
      </c>
    </row>
    <row r="294" spans="1:9" x14ac:dyDescent="0.25">
      <c r="A294" s="3">
        <v>287</v>
      </c>
      <c r="B294" s="4">
        <v>45289</v>
      </c>
      <c r="C294" s="3">
        <v>15</v>
      </c>
      <c r="D294" s="5" t="str">
        <f t="shared" si="37"/>
        <v>2721</v>
      </c>
      <c r="E294" s="6" t="str">
        <f t="shared" si="38"/>
        <v>Начисленные расходы по срочным вкладам клиентов</v>
      </c>
      <c r="F294" s="3" t="str">
        <f>"2"</f>
        <v>2</v>
      </c>
      <c r="G294" s="3" t="str">
        <f>"7"</f>
        <v>7</v>
      </c>
      <c r="H294" s="3" t="str">
        <f>"1"</f>
        <v>1</v>
      </c>
      <c r="I294" s="7">
        <v>2282191.7799999998</v>
      </c>
    </row>
    <row r="295" spans="1:9" x14ac:dyDescent="0.25">
      <c r="A295" s="3">
        <v>288</v>
      </c>
      <c r="B295" s="4">
        <v>45289</v>
      </c>
      <c r="C295" s="3">
        <v>15</v>
      </c>
      <c r="D295" s="5" t="str">
        <f t="shared" si="37"/>
        <v>2721</v>
      </c>
      <c r="E295" s="6" t="str">
        <f t="shared" si="38"/>
        <v>Начисленные расходы по срочным вкладам клиентов</v>
      </c>
      <c r="F295" s="3" t="str">
        <f>"2"</f>
        <v>2</v>
      </c>
      <c r="G295" s="3" t="str">
        <f>"9"</f>
        <v>9</v>
      </c>
      <c r="H295" s="3" t="str">
        <f>"2"</f>
        <v>2</v>
      </c>
      <c r="I295" s="7">
        <v>8094527.1600000001</v>
      </c>
    </row>
    <row r="296" spans="1:9" x14ac:dyDescent="0.25">
      <c r="A296" s="3">
        <v>289</v>
      </c>
      <c r="B296" s="4">
        <v>45289</v>
      </c>
      <c r="C296" s="3">
        <v>15</v>
      </c>
      <c r="D296" s="5" t="str">
        <f t="shared" si="37"/>
        <v>2721</v>
      </c>
      <c r="E296" s="6" t="str">
        <f t="shared" si="38"/>
        <v>Начисленные расходы по срочным вкладам клиентов</v>
      </c>
      <c r="F296" s="3" t="str">
        <f>"1"</f>
        <v>1</v>
      </c>
      <c r="G296" s="3" t="str">
        <f>"9"</f>
        <v>9</v>
      </c>
      <c r="H296" s="3" t="str">
        <f>"1"</f>
        <v>1</v>
      </c>
      <c r="I296" s="7">
        <v>248231113.00999999</v>
      </c>
    </row>
    <row r="297" spans="1:9" x14ac:dyDescent="0.25">
      <c r="A297" s="3">
        <v>290</v>
      </c>
      <c r="B297" s="4">
        <v>45289</v>
      </c>
      <c r="C297" s="3">
        <v>15</v>
      </c>
      <c r="D297" s="5" t="str">
        <f t="shared" si="37"/>
        <v>2721</v>
      </c>
      <c r="E297" s="6" t="str">
        <f t="shared" si="38"/>
        <v>Начисленные расходы по срочным вкладам клиентов</v>
      </c>
      <c r="F297" s="3" t="str">
        <f>"1"</f>
        <v>1</v>
      </c>
      <c r="G297" s="3" t="str">
        <f>"7"</f>
        <v>7</v>
      </c>
      <c r="H297" s="3" t="str">
        <f>"1"</f>
        <v>1</v>
      </c>
      <c r="I297" s="7">
        <v>139903496.12</v>
      </c>
    </row>
    <row r="298" spans="1:9" x14ac:dyDescent="0.25">
      <c r="A298" s="3">
        <v>291</v>
      </c>
      <c r="B298" s="4">
        <v>45289</v>
      </c>
      <c r="C298" s="3">
        <v>15</v>
      </c>
      <c r="D298" s="5" t="str">
        <f>"2723"</f>
        <v>2723</v>
      </c>
      <c r="E298" s="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98" s="3" t="str">
        <f>"1"</f>
        <v>1</v>
      </c>
      <c r="G298" s="3" t="str">
        <f>"9"</f>
        <v>9</v>
      </c>
      <c r="H298" s="3" t="str">
        <f>"2"</f>
        <v>2</v>
      </c>
      <c r="I298" s="7">
        <v>348920.26</v>
      </c>
    </row>
    <row r="299" spans="1:9" x14ac:dyDescent="0.25">
      <c r="A299" s="3">
        <v>292</v>
      </c>
      <c r="B299" s="4">
        <v>45289</v>
      </c>
      <c r="C299" s="3">
        <v>15</v>
      </c>
      <c r="D299" s="5" t="str">
        <f>"2723"</f>
        <v>2723</v>
      </c>
      <c r="E299" s="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99" s="3" t="str">
        <f>"1"</f>
        <v>1</v>
      </c>
      <c r="G299" s="3" t="str">
        <f>"7"</f>
        <v>7</v>
      </c>
      <c r="H299" s="3" t="str">
        <f>"1"</f>
        <v>1</v>
      </c>
      <c r="I299" s="7">
        <v>6518603.8399999999</v>
      </c>
    </row>
    <row r="300" spans="1:9" x14ac:dyDescent="0.25">
      <c r="A300" s="3">
        <v>293</v>
      </c>
      <c r="B300" s="4">
        <v>45289</v>
      </c>
      <c r="C300" s="3">
        <v>15</v>
      </c>
      <c r="D300" s="5" t="str">
        <f>"2723"</f>
        <v>2723</v>
      </c>
      <c r="E300" s="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00" s="3" t="str">
        <f>"1"</f>
        <v>1</v>
      </c>
      <c r="G300" s="3" t="str">
        <f>"9"</f>
        <v>9</v>
      </c>
      <c r="H300" s="3" t="str">
        <f>"1"</f>
        <v>1</v>
      </c>
      <c r="I300" s="7">
        <v>490796.91</v>
      </c>
    </row>
    <row r="301" spans="1:9" x14ac:dyDescent="0.25">
      <c r="A301" s="3">
        <v>294</v>
      </c>
      <c r="B301" s="4">
        <v>45289</v>
      </c>
      <c r="C301" s="3">
        <v>15</v>
      </c>
      <c r="D301" s="5" t="str">
        <f>"2724"</f>
        <v>2724</v>
      </c>
      <c r="E301" s="6" t="str">
        <f>"Начисленные расходы по сберегательным вкладам клиентов"</f>
        <v>Начисленные расходы по сберегательным вкладам клиентов</v>
      </c>
      <c r="F301" s="3" t="str">
        <f>"2"</f>
        <v>2</v>
      </c>
      <c r="G301" s="3" t="str">
        <f>"9"</f>
        <v>9</v>
      </c>
      <c r="H301" s="3" t="str">
        <f>"2"</f>
        <v>2</v>
      </c>
      <c r="I301" s="7">
        <v>4981.9799999999996</v>
      </c>
    </row>
    <row r="302" spans="1:9" x14ac:dyDescent="0.25">
      <c r="A302" s="3">
        <v>295</v>
      </c>
      <c r="B302" s="4">
        <v>45289</v>
      </c>
      <c r="C302" s="3">
        <v>15</v>
      </c>
      <c r="D302" s="5" t="str">
        <f>"2724"</f>
        <v>2724</v>
      </c>
      <c r="E302" s="6" t="str">
        <f>"Начисленные расходы по сберегательным вкладам клиентов"</f>
        <v>Начисленные расходы по сберегательным вкладам клиентов</v>
      </c>
      <c r="F302" s="3" t="str">
        <f>"1"</f>
        <v>1</v>
      </c>
      <c r="G302" s="3" t="str">
        <f>"9"</f>
        <v>9</v>
      </c>
      <c r="H302" s="3" t="str">
        <f>"2"</f>
        <v>2</v>
      </c>
      <c r="I302" s="7">
        <v>2699027.24</v>
      </c>
    </row>
    <row r="303" spans="1:9" x14ac:dyDescent="0.25">
      <c r="A303" s="3">
        <v>296</v>
      </c>
      <c r="B303" s="4">
        <v>45289</v>
      </c>
      <c r="C303" s="3">
        <v>15</v>
      </c>
      <c r="D303" s="5" t="str">
        <f>"2724"</f>
        <v>2724</v>
      </c>
      <c r="E303" s="6" t="str">
        <f>"Начисленные расходы по сберегательным вкладам клиентов"</f>
        <v>Начисленные расходы по сберегательным вкладам клиентов</v>
      </c>
      <c r="F303" s="3" t="str">
        <f>"1"</f>
        <v>1</v>
      </c>
      <c r="G303" s="3" t="str">
        <f>"9"</f>
        <v>9</v>
      </c>
      <c r="H303" s="3" t="str">
        <f t="shared" ref="H303:H314" si="39">"1"</f>
        <v>1</v>
      </c>
      <c r="I303" s="7">
        <v>211074307.38999999</v>
      </c>
    </row>
    <row r="304" spans="1:9" x14ac:dyDescent="0.25">
      <c r="A304" s="3">
        <v>297</v>
      </c>
      <c r="B304" s="4">
        <v>45289</v>
      </c>
      <c r="C304" s="3">
        <v>15</v>
      </c>
      <c r="D304" s="5" t="str">
        <f>"2724"</f>
        <v>2724</v>
      </c>
      <c r="E304" s="6" t="str">
        <f>"Начисленные расходы по сберегательным вкладам клиентов"</f>
        <v>Начисленные расходы по сберегательным вкладам клиентов</v>
      </c>
      <c r="F304" s="3" t="str">
        <f>"2"</f>
        <v>2</v>
      </c>
      <c r="G304" s="3" t="str">
        <f>"9"</f>
        <v>9</v>
      </c>
      <c r="H304" s="3" t="str">
        <f t="shared" si="39"/>
        <v>1</v>
      </c>
      <c r="I304" s="7">
        <v>14364345.34</v>
      </c>
    </row>
    <row r="305" spans="1:9" x14ac:dyDescent="0.25">
      <c r="A305" s="3">
        <v>298</v>
      </c>
      <c r="B305" s="4">
        <v>45289</v>
      </c>
      <c r="C305" s="3">
        <v>15</v>
      </c>
      <c r="D305" s="5" t="str">
        <f>"2725"</f>
        <v>2725</v>
      </c>
      <c r="E305" s="6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05" s="3" t="str">
        <f>"1"</f>
        <v>1</v>
      </c>
      <c r="G305" s="3" t="str">
        <f>"5"</f>
        <v>5</v>
      </c>
      <c r="H305" s="3" t="str">
        <f t="shared" si="39"/>
        <v>1</v>
      </c>
      <c r="I305" s="7">
        <v>61374628.920000002</v>
      </c>
    </row>
    <row r="306" spans="1:9" x14ac:dyDescent="0.25">
      <c r="A306" s="3">
        <v>299</v>
      </c>
      <c r="B306" s="4">
        <v>45289</v>
      </c>
      <c r="C306" s="3">
        <v>15</v>
      </c>
      <c r="D306" s="5" t="str">
        <f t="shared" ref="D306:D313" si="40">"2770"</f>
        <v>2770</v>
      </c>
      <c r="E306" s="6" t="str">
        <f t="shared" ref="E306:E313" si="4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06" s="3" t="str">
        <f>"1"</f>
        <v>1</v>
      </c>
      <c r="G306" s="3" t="str">
        <f>"4"</f>
        <v>4</v>
      </c>
      <c r="H306" s="3" t="str">
        <f t="shared" si="39"/>
        <v>1</v>
      </c>
      <c r="I306" s="7">
        <v>7000000</v>
      </c>
    </row>
    <row r="307" spans="1:9" x14ac:dyDescent="0.25">
      <c r="A307" s="3">
        <v>300</v>
      </c>
      <c r="B307" s="4">
        <v>45289</v>
      </c>
      <c r="C307" s="3">
        <v>15</v>
      </c>
      <c r="D307" s="5" t="str">
        <f t="shared" si="40"/>
        <v>2770</v>
      </c>
      <c r="E307" s="6" t="str">
        <f t="shared" si="41"/>
        <v>Начисленные расходы по административно-хозяйственной деятельности</v>
      </c>
      <c r="F307" s="3" t="str">
        <f>"1"</f>
        <v>1</v>
      </c>
      <c r="G307" s="3" t="str">
        <f>"5"</f>
        <v>5</v>
      </c>
      <c r="H307" s="3" t="str">
        <f t="shared" si="39"/>
        <v>1</v>
      </c>
      <c r="I307" s="7">
        <v>13189685.68</v>
      </c>
    </row>
    <row r="308" spans="1:9" x14ac:dyDescent="0.25">
      <c r="A308" s="3">
        <v>301</v>
      </c>
      <c r="B308" s="4">
        <v>45289</v>
      </c>
      <c r="C308" s="3">
        <v>15</v>
      </c>
      <c r="D308" s="5" t="str">
        <f t="shared" si="40"/>
        <v>2770</v>
      </c>
      <c r="E308" s="6" t="str">
        <f t="shared" si="41"/>
        <v>Начисленные расходы по административно-хозяйственной деятельности</v>
      </c>
      <c r="F308" s="3" t="str">
        <f>"2"</f>
        <v>2</v>
      </c>
      <c r="G308" s="3" t="str">
        <f>"7"</f>
        <v>7</v>
      </c>
      <c r="H308" s="3" t="str">
        <f t="shared" si="39"/>
        <v>1</v>
      </c>
      <c r="I308" s="7">
        <v>54219178.140000001</v>
      </c>
    </row>
    <row r="309" spans="1:9" x14ac:dyDescent="0.25">
      <c r="A309" s="3">
        <v>302</v>
      </c>
      <c r="B309" s="4">
        <v>45289</v>
      </c>
      <c r="C309" s="3">
        <v>15</v>
      </c>
      <c r="D309" s="5" t="str">
        <f t="shared" si="40"/>
        <v>2770</v>
      </c>
      <c r="E309" s="6" t="str">
        <f t="shared" si="41"/>
        <v>Начисленные расходы по административно-хозяйственной деятельности</v>
      </c>
      <c r="F309" s="3" t="str">
        <f>"1"</f>
        <v>1</v>
      </c>
      <c r="G309" s="3" t="str">
        <f>"6"</f>
        <v>6</v>
      </c>
      <c r="H309" s="3" t="str">
        <f t="shared" si="39"/>
        <v>1</v>
      </c>
      <c r="I309" s="7">
        <v>2000000</v>
      </c>
    </row>
    <row r="310" spans="1:9" x14ac:dyDescent="0.25">
      <c r="A310" s="3">
        <v>303</v>
      </c>
      <c r="B310" s="4">
        <v>45289</v>
      </c>
      <c r="C310" s="3">
        <v>15</v>
      </c>
      <c r="D310" s="5" t="str">
        <f t="shared" si="40"/>
        <v>2770</v>
      </c>
      <c r="E310" s="6" t="str">
        <f t="shared" si="41"/>
        <v>Начисленные расходы по административно-хозяйственной деятельности</v>
      </c>
      <c r="F310" s="3" t="str">
        <f>"1"</f>
        <v>1</v>
      </c>
      <c r="G310" s="3" t="str">
        <f>"7"</f>
        <v>7</v>
      </c>
      <c r="H310" s="3" t="str">
        <f t="shared" si="39"/>
        <v>1</v>
      </c>
      <c r="I310" s="7">
        <v>132213365.38</v>
      </c>
    </row>
    <row r="311" spans="1:9" x14ac:dyDescent="0.25">
      <c r="A311" s="3">
        <v>304</v>
      </c>
      <c r="B311" s="4">
        <v>45289</v>
      </c>
      <c r="C311" s="3">
        <v>15</v>
      </c>
      <c r="D311" s="5" t="str">
        <f t="shared" si="40"/>
        <v>2770</v>
      </c>
      <c r="E311" s="6" t="str">
        <f t="shared" si="41"/>
        <v>Начисленные расходы по административно-хозяйственной деятельности</v>
      </c>
      <c r="F311" s="3" t="str">
        <f>"1"</f>
        <v>1</v>
      </c>
      <c r="G311" s="3" t="str">
        <f>"9"</f>
        <v>9</v>
      </c>
      <c r="H311" s="3" t="str">
        <f t="shared" si="39"/>
        <v>1</v>
      </c>
      <c r="I311" s="7">
        <v>16801410</v>
      </c>
    </row>
    <row r="312" spans="1:9" x14ac:dyDescent="0.25">
      <c r="A312" s="3">
        <v>305</v>
      </c>
      <c r="B312" s="4">
        <v>45289</v>
      </c>
      <c r="C312" s="3">
        <v>15</v>
      </c>
      <c r="D312" s="5" t="str">
        <f t="shared" si="40"/>
        <v>2770</v>
      </c>
      <c r="E312" s="6" t="str">
        <f t="shared" si="41"/>
        <v>Начисленные расходы по административно-хозяйственной деятельности</v>
      </c>
      <c r="F312" s="3" t="str">
        <f>"1"</f>
        <v>1</v>
      </c>
      <c r="G312" s="3" t="str">
        <f>"8"</f>
        <v>8</v>
      </c>
      <c r="H312" s="3" t="str">
        <f t="shared" si="39"/>
        <v>1</v>
      </c>
      <c r="I312" s="7">
        <v>2002232.14</v>
      </c>
    </row>
    <row r="313" spans="1:9" x14ac:dyDescent="0.25">
      <c r="A313" s="3">
        <v>306</v>
      </c>
      <c r="B313" s="4">
        <v>45289</v>
      </c>
      <c r="C313" s="3">
        <v>15</v>
      </c>
      <c r="D313" s="5" t="str">
        <f t="shared" si="40"/>
        <v>2770</v>
      </c>
      <c r="E313" s="6" t="str">
        <f t="shared" si="41"/>
        <v>Начисленные расходы по административно-хозяйственной деятельности</v>
      </c>
      <c r="F313" s="3" t="str">
        <f>"2"</f>
        <v>2</v>
      </c>
      <c r="G313" s="3" t="str">
        <f>"9"</f>
        <v>9</v>
      </c>
      <c r="H313" s="3" t="str">
        <f t="shared" si="39"/>
        <v>1</v>
      </c>
      <c r="I313" s="7">
        <v>457440</v>
      </c>
    </row>
    <row r="314" spans="1:9" x14ac:dyDescent="0.25">
      <c r="A314" s="3">
        <v>307</v>
      </c>
      <c r="B314" s="4">
        <v>45289</v>
      </c>
      <c r="C314" s="3">
        <v>15</v>
      </c>
      <c r="D314" s="5" t="str">
        <f t="shared" ref="D314:D319" si="42">"2794"</f>
        <v>2794</v>
      </c>
      <c r="E314" s="6" t="str">
        <f t="shared" ref="E314:E319" si="43">"Доходы будущих периодов"</f>
        <v>Доходы будущих периодов</v>
      </c>
      <c r="F314" s="3" t="str">
        <f>"1"</f>
        <v>1</v>
      </c>
      <c r="G314" s="3" t="str">
        <f>"7"</f>
        <v>7</v>
      </c>
      <c r="H314" s="3" t="str">
        <f t="shared" si="39"/>
        <v>1</v>
      </c>
      <c r="I314" s="7">
        <v>24044202.449999999</v>
      </c>
    </row>
    <row r="315" spans="1:9" x14ac:dyDescent="0.25">
      <c r="A315" s="3">
        <v>308</v>
      </c>
      <c r="B315" s="4">
        <v>45289</v>
      </c>
      <c r="C315" s="3">
        <v>15</v>
      </c>
      <c r="D315" s="5" t="str">
        <f t="shared" si="42"/>
        <v>2794</v>
      </c>
      <c r="E315" s="6" t="str">
        <f t="shared" si="43"/>
        <v>Доходы будущих периодов</v>
      </c>
      <c r="F315" s="3" t="str">
        <f>"1"</f>
        <v>1</v>
      </c>
      <c r="G315" s="3" t="str">
        <f>"7"</f>
        <v>7</v>
      </c>
      <c r="H315" s="3" t="str">
        <f>"2"</f>
        <v>2</v>
      </c>
      <c r="I315" s="7">
        <v>13772613.439999999</v>
      </c>
    </row>
    <row r="316" spans="1:9" x14ac:dyDescent="0.25">
      <c r="A316" s="3">
        <v>309</v>
      </c>
      <c r="B316" s="4">
        <v>45289</v>
      </c>
      <c r="C316" s="3">
        <v>15</v>
      </c>
      <c r="D316" s="5" t="str">
        <f t="shared" si="42"/>
        <v>2794</v>
      </c>
      <c r="E316" s="6" t="str">
        <f t="shared" si="43"/>
        <v>Доходы будущих периодов</v>
      </c>
      <c r="F316" s="3" t="str">
        <f>"1"</f>
        <v>1</v>
      </c>
      <c r="G316" s="3" t="str">
        <f>"9"</f>
        <v>9</v>
      </c>
      <c r="H316" s="3" t="str">
        <f>"1"</f>
        <v>1</v>
      </c>
      <c r="I316" s="7">
        <v>7501077.5700000003</v>
      </c>
    </row>
    <row r="317" spans="1:9" x14ac:dyDescent="0.25">
      <c r="A317" s="3">
        <v>310</v>
      </c>
      <c r="B317" s="4">
        <v>45289</v>
      </c>
      <c r="C317" s="3">
        <v>15</v>
      </c>
      <c r="D317" s="5" t="str">
        <f t="shared" si="42"/>
        <v>2794</v>
      </c>
      <c r="E317" s="6" t="str">
        <f t="shared" si="43"/>
        <v>Доходы будущих периодов</v>
      </c>
      <c r="F317" s="3" t="str">
        <f>"1"</f>
        <v>1</v>
      </c>
      <c r="G317" s="3" t="str">
        <f>"5"</f>
        <v>5</v>
      </c>
      <c r="H317" s="3" t="str">
        <f>"2"</f>
        <v>2</v>
      </c>
      <c r="I317" s="7">
        <v>3178823.54</v>
      </c>
    </row>
    <row r="318" spans="1:9" x14ac:dyDescent="0.25">
      <c r="A318" s="3">
        <v>311</v>
      </c>
      <c r="B318" s="4">
        <v>45289</v>
      </c>
      <c r="C318" s="3">
        <v>15</v>
      </c>
      <c r="D318" s="5" t="str">
        <f t="shared" si="42"/>
        <v>2794</v>
      </c>
      <c r="E318" s="6" t="str">
        <f t="shared" si="43"/>
        <v>Доходы будущих периодов</v>
      </c>
      <c r="F318" s="3" t="str">
        <f>"2"</f>
        <v>2</v>
      </c>
      <c r="G318" s="3" t="str">
        <f>"9"</f>
        <v>9</v>
      </c>
      <c r="H318" s="3" t="str">
        <f>"1"</f>
        <v>1</v>
      </c>
      <c r="I318" s="7">
        <v>474691.53</v>
      </c>
    </row>
    <row r="319" spans="1:9" x14ac:dyDescent="0.25">
      <c r="A319" s="3">
        <v>312</v>
      </c>
      <c r="B319" s="4">
        <v>45289</v>
      </c>
      <c r="C319" s="3">
        <v>15</v>
      </c>
      <c r="D319" s="5" t="str">
        <f t="shared" si="42"/>
        <v>2794</v>
      </c>
      <c r="E319" s="6" t="str">
        <f t="shared" si="43"/>
        <v>Доходы будущих периодов</v>
      </c>
      <c r="F319" s="3" t="str">
        <f>"1"</f>
        <v>1</v>
      </c>
      <c r="G319" s="3" t="str">
        <f>"5"</f>
        <v>5</v>
      </c>
      <c r="H319" s="3" t="str">
        <f>"3"</f>
        <v>3</v>
      </c>
      <c r="I319" s="7">
        <v>179575.92</v>
      </c>
    </row>
    <row r="320" spans="1:9" x14ac:dyDescent="0.25">
      <c r="A320" s="3">
        <v>313</v>
      </c>
      <c r="B320" s="4">
        <v>45289</v>
      </c>
      <c r="C320" s="3">
        <v>15</v>
      </c>
      <c r="D320" s="5" t="str">
        <f>"2799"</f>
        <v>2799</v>
      </c>
      <c r="E320" s="6" t="str">
        <f>"Прочие предоплаты"</f>
        <v>Прочие предоплаты</v>
      </c>
      <c r="F320" s="3" t="str">
        <f>"2"</f>
        <v>2</v>
      </c>
      <c r="G320" s="3" t="str">
        <f>"9"</f>
        <v>9</v>
      </c>
      <c r="H320" s="3" t="str">
        <f t="shared" ref="H320:H326" si="44">"1"</f>
        <v>1</v>
      </c>
      <c r="I320" s="7">
        <v>13333.32</v>
      </c>
    </row>
    <row r="321" spans="1:9" x14ac:dyDescent="0.25">
      <c r="A321" s="3">
        <v>314</v>
      </c>
      <c r="B321" s="4">
        <v>45289</v>
      </c>
      <c r="C321" s="3">
        <v>15</v>
      </c>
      <c r="D321" s="5" t="str">
        <f>"2799"</f>
        <v>2799</v>
      </c>
      <c r="E321" s="6" t="str">
        <f>"Прочие предоплаты"</f>
        <v>Прочие предоплаты</v>
      </c>
      <c r="F321" s="3" t="str">
        <f>"1"</f>
        <v>1</v>
      </c>
      <c r="G321" s="3" t="str">
        <f>"7"</f>
        <v>7</v>
      </c>
      <c r="H321" s="3" t="str">
        <f t="shared" si="44"/>
        <v>1</v>
      </c>
      <c r="I321" s="7">
        <v>149844.22</v>
      </c>
    </row>
    <row r="322" spans="1:9" x14ac:dyDescent="0.25">
      <c r="A322" s="3">
        <v>315</v>
      </c>
      <c r="B322" s="4">
        <v>45289</v>
      </c>
      <c r="C322" s="3">
        <v>15</v>
      </c>
      <c r="D322" s="5" t="str">
        <f>"2799"</f>
        <v>2799</v>
      </c>
      <c r="E322" s="6" t="str">
        <f>"Прочие предоплаты"</f>
        <v>Прочие предоплаты</v>
      </c>
      <c r="F322" s="3" t="str">
        <f>"1"</f>
        <v>1</v>
      </c>
      <c r="G322" s="3" t="str">
        <f>"9"</f>
        <v>9</v>
      </c>
      <c r="H322" s="3" t="str">
        <f t="shared" si="44"/>
        <v>1</v>
      </c>
      <c r="I322" s="7">
        <v>16458379.73</v>
      </c>
    </row>
    <row r="323" spans="1:9" x14ac:dyDescent="0.25">
      <c r="A323" s="3">
        <v>316</v>
      </c>
      <c r="B323" s="4">
        <v>45289</v>
      </c>
      <c r="C323" s="3">
        <v>15</v>
      </c>
      <c r="D323" s="5" t="str">
        <f>"2811"</f>
        <v>2811</v>
      </c>
      <c r="E323" s="6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23" s="3" t="str">
        <f>"2"</f>
        <v>2</v>
      </c>
      <c r="G323" s="3">
        <v>0</v>
      </c>
      <c r="H323" s="3" t="str">
        <f t="shared" si="44"/>
        <v>1</v>
      </c>
      <c r="I323" s="7">
        <v>48107671.280000001</v>
      </c>
    </row>
    <row r="324" spans="1:9" x14ac:dyDescent="0.25">
      <c r="A324" s="3">
        <v>317</v>
      </c>
      <c r="B324" s="4">
        <v>45289</v>
      </c>
      <c r="C324" s="3">
        <v>15</v>
      </c>
      <c r="D324" s="5" t="str">
        <f>"2811"</f>
        <v>2811</v>
      </c>
      <c r="E324" s="6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24" s="3" t="str">
        <f>"1"</f>
        <v>1</v>
      </c>
      <c r="G324" s="3">
        <v>0</v>
      </c>
      <c r="H324" s="3" t="str">
        <f t="shared" si="44"/>
        <v>1</v>
      </c>
      <c r="I324" s="7">
        <v>3072502</v>
      </c>
    </row>
    <row r="325" spans="1:9" x14ac:dyDescent="0.25">
      <c r="A325" s="3">
        <v>318</v>
      </c>
      <c r="B325" s="4">
        <v>45289</v>
      </c>
      <c r="C325" s="3">
        <v>15</v>
      </c>
      <c r="D325" s="5" t="str">
        <f>"2820"</f>
        <v>2820</v>
      </c>
      <c r="E325" s="6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25" s="3" t="str">
        <f>"1"</f>
        <v>1</v>
      </c>
      <c r="G325" s="3">
        <v>0</v>
      </c>
      <c r="H325" s="3" t="str">
        <f t="shared" si="44"/>
        <v>1</v>
      </c>
      <c r="I325" s="7">
        <v>13744000.01</v>
      </c>
    </row>
    <row r="326" spans="1:9" x14ac:dyDescent="0.25">
      <c r="A326" s="3">
        <v>319</v>
      </c>
      <c r="B326" s="4">
        <v>45289</v>
      </c>
      <c r="C326" s="3">
        <v>15</v>
      </c>
      <c r="D326" s="5" t="str">
        <f>"2851"</f>
        <v>2851</v>
      </c>
      <c r="E326" s="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26" s="3" t="str">
        <f>"1"</f>
        <v>1</v>
      </c>
      <c r="G326" s="3" t="str">
        <f>"1"</f>
        <v>1</v>
      </c>
      <c r="H326" s="3" t="str">
        <f t="shared" si="44"/>
        <v>1</v>
      </c>
      <c r="I326" s="7">
        <v>69446579.790000007</v>
      </c>
    </row>
    <row r="327" spans="1:9" x14ac:dyDescent="0.25">
      <c r="A327" s="3">
        <v>320</v>
      </c>
      <c r="B327" s="4">
        <v>45289</v>
      </c>
      <c r="C327" s="3">
        <v>15</v>
      </c>
      <c r="D327" s="5" t="str">
        <f>"2854"</f>
        <v>2854</v>
      </c>
      <c r="E327" s="6" t="str">
        <f>"Расчеты с работниками"</f>
        <v>Расчеты с работниками</v>
      </c>
      <c r="F327" s="3">
        <v>0</v>
      </c>
      <c r="G327" s="3">
        <v>0</v>
      </c>
      <c r="H327" s="3">
        <v>0</v>
      </c>
      <c r="I327" s="7">
        <v>3365843732.02</v>
      </c>
    </row>
    <row r="328" spans="1:9" x14ac:dyDescent="0.25">
      <c r="A328" s="3">
        <v>321</v>
      </c>
      <c r="B328" s="4">
        <v>45289</v>
      </c>
      <c r="C328" s="3">
        <v>15</v>
      </c>
      <c r="D328" s="5" t="str">
        <f>"2855"</f>
        <v>2855</v>
      </c>
      <c r="E328" s="6" t="str">
        <f>"Кредиторы по документарным расчетам"</f>
        <v>Кредиторы по документарным расчетам</v>
      </c>
      <c r="F328" s="3" t="str">
        <f>"1"</f>
        <v>1</v>
      </c>
      <c r="G328" s="3" t="str">
        <f>"7"</f>
        <v>7</v>
      </c>
      <c r="H328" s="3" t="str">
        <f>"2"</f>
        <v>2</v>
      </c>
      <c r="I328" s="7">
        <v>45456000</v>
      </c>
    </row>
    <row r="329" spans="1:9" x14ac:dyDescent="0.25">
      <c r="A329" s="3">
        <v>322</v>
      </c>
      <c r="B329" s="4">
        <v>45289</v>
      </c>
      <c r="C329" s="3">
        <v>15</v>
      </c>
      <c r="D329" s="5" t="str">
        <f>"2855"</f>
        <v>2855</v>
      </c>
      <c r="E329" s="6" t="str">
        <f>"Кредиторы по документарным расчетам"</f>
        <v>Кредиторы по документарным расчетам</v>
      </c>
      <c r="F329" s="3" t="str">
        <f>"1"</f>
        <v>1</v>
      </c>
      <c r="G329" s="3" t="str">
        <f>"5"</f>
        <v>5</v>
      </c>
      <c r="H329" s="3" t="str">
        <f>"3"</f>
        <v>3</v>
      </c>
      <c r="I329" s="7">
        <v>1212151395.95</v>
      </c>
    </row>
    <row r="330" spans="1:9" x14ac:dyDescent="0.25">
      <c r="A330" s="3">
        <v>323</v>
      </c>
      <c r="B330" s="4">
        <v>45289</v>
      </c>
      <c r="C330" s="3">
        <v>15</v>
      </c>
      <c r="D330" s="5" t="str">
        <f>"2855"</f>
        <v>2855</v>
      </c>
      <c r="E330" s="6" t="str">
        <f>"Кредиторы по документарным расчетам"</f>
        <v>Кредиторы по документарным расчетам</v>
      </c>
      <c r="F330" s="3" t="str">
        <f>"1"</f>
        <v>1</v>
      </c>
      <c r="G330" s="3" t="str">
        <f>"5"</f>
        <v>5</v>
      </c>
      <c r="H330" s="3" t="str">
        <f>"2"</f>
        <v>2</v>
      </c>
      <c r="I330" s="7">
        <v>7172415748.1300001</v>
      </c>
    </row>
    <row r="331" spans="1:9" x14ac:dyDescent="0.25">
      <c r="A331" s="3">
        <v>324</v>
      </c>
      <c r="B331" s="4">
        <v>45289</v>
      </c>
      <c r="C331" s="3">
        <v>15</v>
      </c>
      <c r="D331" s="5" t="str">
        <f>"2857"</f>
        <v>2857</v>
      </c>
      <c r="E331" s="6" t="str">
        <f>"Отложенные налоговые обязательства"</f>
        <v>Отложенные налоговые обязательства</v>
      </c>
      <c r="F331" s="3">
        <v>0</v>
      </c>
      <c r="G331" s="3">
        <v>0</v>
      </c>
      <c r="H331" s="3">
        <v>0</v>
      </c>
      <c r="I331" s="7">
        <v>25792838.07</v>
      </c>
    </row>
    <row r="332" spans="1:9" x14ac:dyDescent="0.25">
      <c r="A332" s="3">
        <v>325</v>
      </c>
      <c r="B332" s="4">
        <v>45289</v>
      </c>
      <c r="C332" s="3">
        <v>15</v>
      </c>
      <c r="D332" s="5" t="str">
        <f>"2860"</f>
        <v>2860</v>
      </c>
      <c r="E332" s="6" t="str">
        <f>"Прочие кредиторы по банковской деятельности"</f>
        <v>Прочие кредиторы по банковской деятельности</v>
      </c>
      <c r="F332" s="3" t="str">
        <f>"1"</f>
        <v>1</v>
      </c>
      <c r="G332" s="3" t="str">
        <f>"7"</f>
        <v>7</v>
      </c>
      <c r="H332" s="3" t="str">
        <f>"1"</f>
        <v>1</v>
      </c>
      <c r="I332" s="7">
        <v>2034.88</v>
      </c>
    </row>
    <row r="333" spans="1:9" x14ac:dyDescent="0.25">
      <c r="A333" s="3">
        <v>326</v>
      </c>
      <c r="B333" s="4">
        <v>45289</v>
      </c>
      <c r="C333" s="3">
        <v>15</v>
      </c>
      <c r="D333" s="5" t="str">
        <f>"2860"</f>
        <v>2860</v>
      </c>
      <c r="E333" s="6" t="str">
        <f>"Прочие кредиторы по банковской деятельности"</f>
        <v>Прочие кредиторы по банковской деятельности</v>
      </c>
      <c r="F333" s="3" t="str">
        <f>"1"</f>
        <v>1</v>
      </c>
      <c r="G333" s="3" t="str">
        <f>"5"</f>
        <v>5</v>
      </c>
      <c r="H333" s="3" t="str">
        <f>"1"</f>
        <v>1</v>
      </c>
      <c r="I333" s="7">
        <v>857559.68</v>
      </c>
    </row>
    <row r="334" spans="1:9" x14ac:dyDescent="0.25">
      <c r="A334" s="3">
        <v>327</v>
      </c>
      <c r="B334" s="4">
        <v>45289</v>
      </c>
      <c r="C334" s="3">
        <v>15</v>
      </c>
      <c r="D334" s="5" t="str">
        <f>"2860"</f>
        <v>2860</v>
      </c>
      <c r="E334" s="6" t="str">
        <f>"Прочие кредиторы по банковской деятельности"</f>
        <v>Прочие кредиторы по банковской деятельности</v>
      </c>
      <c r="F334" s="3" t="str">
        <f>"1"</f>
        <v>1</v>
      </c>
      <c r="G334" s="3" t="str">
        <f>"4"</f>
        <v>4</v>
      </c>
      <c r="H334" s="3" t="str">
        <f>"1"</f>
        <v>1</v>
      </c>
      <c r="I334" s="7">
        <v>4921000</v>
      </c>
    </row>
    <row r="335" spans="1:9" x14ac:dyDescent="0.25">
      <c r="A335" s="3">
        <v>328</v>
      </c>
      <c r="B335" s="4">
        <v>45289</v>
      </c>
      <c r="C335" s="3">
        <v>15</v>
      </c>
      <c r="D335" s="5" t="str">
        <f>"2860"</f>
        <v>2860</v>
      </c>
      <c r="E335" s="6" t="str">
        <f>"Прочие кредиторы по банковской деятельности"</f>
        <v>Прочие кредиторы по банковской деятельности</v>
      </c>
      <c r="F335" s="3" t="str">
        <f>"1"</f>
        <v>1</v>
      </c>
      <c r="G335" s="3" t="str">
        <f>"9"</f>
        <v>9</v>
      </c>
      <c r="H335" s="3" t="str">
        <f>"1"</f>
        <v>1</v>
      </c>
      <c r="I335" s="7">
        <v>124.85</v>
      </c>
    </row>
    <row r="336" spans="1:9" x14ac:dyDescent="0.25">
      <c r="A336" s="3">
        <v>329</v>
      </c>
      <c r="B336" s="4">
        <v>45289</v>
      </c>
      <c r="C336" s="3">
        <v>15</v>
      </c>
      <c r="D336" s="5" t="str">
        <f>"2861"</f>
        <v>2861</v>
      </c>
      <c r="E336" s="6" t="str">
        <f>"Резерв на отпускные выплаты"</f>
        <v>Резерв на отпускные выплаты</v>
      </c>
      <c r="F336" s="3">
        <v>0</v>
      </c>
      <c r="G336" s="3">
        <v>0</v>
      </c>
      <c r="H336" s="3">
        <v>0</v>
      </c>
      <c r="I336" s="7">
        <v>492468066.06</v>
      </c>
    </row>
    <row r="337" spans="1:9" x14ac:dyDescent="0.25">
      <c r="A337" s="3">
        <v>330</v>
      </c>
      <c r="B337" s="4">
        <v>45289</v>
      </c>
      <c r="C337" s="3">
        <v>15</v>
      </c>
      <c r="D337" s="5" t="str">
        <f>"2867"</f>
        <v>2867</v>
      </c>
      <c r="E337" s="6" t="str">
        <f>"Прочие кредиторы по неосновной деятельности"</f>
        <v>Прочие кредиторы по неосновной деятельности</v>
      </c>
      <c r="F337" s="3" t="str">
        <f>"1"</f>
        <v>1</v>
      </c>
      <c r="G337" s="3" t="str">
        <f>"7"</f>
        <v>7</v>
      </c>
      <c r="H337" s="3" t="str">
        <f>"1"</f>
        <v>1</v>
      </c>
      <c r="I337" s="7">
        <v>7687500</v>
      </c>
    </row>
    <row r="338" spans="1:9" x14ac:dyDescent="0.25">
      <c r="A338" s="3">
        <v>331</v>
      </c>
      <c r="B338" s="4">
        <v>45289</v>
      </c>
      <c r="C338" s="3">
        <v>15</v>
      </c>
      <c r="D338" s="5" t="str">
        <f>"2868"</f>
        <v>2868</v>
      </c>
      <c r="E338" s="6" t="str">
        <f>"Оценочные обязательства"</f>
        <v>Оценочные обязательства</v>
      </c>
      <c r="F338" s="3" t="str">
        <f>"1"</f>
        <v>1</v>
      </c>
      <c r="G338" s="3" t="str">
        <f>"1"</f>
        <v>1</v>
      </c>
      <c r="H338" s="3" t="str">
        <f>"1"</f>
        <v>1</v>
      </c>
      <c r="I338" s="7">
        <v>2130739279</v>
      </c>
    </row>
    <row r="339" spans="1:9" x14ac:dyDescent="0.25">
      <c r="A339" s="3">
        <v>332</v>
      </c>
      <c r="B339" s="4">
        <v>45289</v>
      </c>
      <c r="C339" s="3">
        <v>15</v>
      </c>
      <c r="D339" s="5" t="str">
        <f t="shared" ref="D339:D344" si="45">"2869"</f>
        <v>2869</v>
      </c>
      <c r="E339" s="6" t="str">
        <f t="shared" ref="E339:E344" si="46">"Выданные гарантии"</f>
        <v>Выданные гарантии</v>
      </c>
      <c r="F339" s="3" t="str">
        <f>"1"</f>
        <v>1</v>
      </c>
      <c r="G339" s="3" t="str">
        <f>"7"</f>
        <v>7</v>
      </c>
      <c r="H339" s="3" t="str">
        <f>"1"</f>
        <v>1</v>
      </c>
      <c r="I339" s="7">
        <v>354997322.33999997</v>
      </c>
    </row>
    <row r="340" spans="1:9" x14ac:dyDescent="0.25">
      <c r="A340" s="3">
        <v>333</v>
      </c>
      <c r="B340" s="4">
        <v>45289</v>
      </c>
      <c r="C340" s="3">
        <v>15</v>
      </c>
      <c r="D340" s="5" t="str">
        <f t="shared" si="45"/>
        <v>2869</v>
      </c>
      <c r="E340" s="6" t="str">
        <f t="shared" si="46"/>
        <v>Выданные гарантии</v>
      </c>
      <c r="F340" s="3" t="str">
        <f>"1"</f>
        <v>1</v>
      </c>
      <c r="G340" s="3" t="str">
        <f>"7"</f>
        <v>7</v>
      </c>
      <c r="H340" s="3" t="str">
        <f>"2"</f>
        <v>2</v>
      </c>
      <c r="I340" s="7">
        <v>563272228.17999995</v>
      </c>
    </row>
    <row r="341" spans="1:9" x14ac:dyDescent="0.25">
      <c r="A341" s="3">
        <v>334</v>
      </c>
      <c r="B341" s="4">
        <v>45289</v>
      </c>
      <c r="C341" s="3">
        <v>15</v>
      </c>
      <c r="D341" s="5" t="str">
        <f t="shared" si="45"/>
        <v>2869</v>
      </c>
      <c r="E341" s="6" t="str">
        <f t="shared" si="46"/>
        <v>Выданные гарантии</v>
      </c>
      <c r="F341" s="3" t="str">
        <f>"2"</f>
        <v>2</v>
      </c>
      <c r="G341" s="3" t="str">
        <f>"4"</f>
        <v>4</v>
      </c>
      <c r="H341" s="3" t="str">
        <f>"1"</f>
        <v>1</v>
      </c>
      <c r="I341" s="7">
        <v>4014577.23</v>
      </c>
    </row>
    <row r="342" spans="1:9" x14ac:dyDescent="0.25">
      <c r="A342" s="3">
        <v>335</v>
      </c>
      <c r="B342" s="4">
        <v>45289</v>
      </c>
      <c r="C342" s="3">
        <v>15</v>
      </c>
      <c r="D342" s="5" t="str">
        <f t="shared" si="45"/>
        <v>2869</v>
      </c>
      <c r="E342" s="6" t="str">
        <f t="shared" si="46"/>
        <v>Выданные гарантии</v>
      </c>
      <c r="F342" s="3" t="str">
        <f>"1"</f>
        <v>1</v>
      </c>
      <c r="G342" s="3" t="str">
        <f>"4"</f>
        <v>4</v>
      </c>
      <c r="H342" s="3" t="str">
        <f>"1"</f>
        <v>1</v>
      </c>
      <c r="I342" s="7">
        <v>2330778.6800000002</v>
      </c>
    </row>
    <row r="343" spans="1:9" x14ac:dyDescent="0.25">
      <c r="A343" s="3">
        <v>336</v>
      </c>
      <c r="B343" s="4">
        <v>45289</v>
      </c>
      <c r="C343" s="3">
        <v>15</v>
      </c>
      <c r="D343" s="5" t="str">
        <f t="shared" si="45"/>
        <v>2869</v>
      </c>
      <c r="E343" s="6" t="str">
        <f t="shared" si="46"/>
        <v>Выданные гарантии</v>
      </c>
      <c r="F343" s="3" t="str">
        <f>"2"</f>
        <v>2</v>
      </c>
      <c r="G343" s="3" t="str">
        <f>"4"</f>
        <v>4</v>
      </c>
      <c r="H343" s="3" t="str">
        <f>"2"</f>
        <v>2</v>
      </c>
      <c r="I343" s="7">
        <v>7551718.9199999999</v>
      </c>
    </row>
    <row r="344" spans="1:9" x14ac:dyDescent="0.25">
      <c r="A344" s="3">
        <v>337</v>
      </c>
      <c r="B344" s="4">
        <v>45289</v>
      </c>
      <c r="C344" s="3">
        <v>15</v>
      </c>
      <c r="D344" s="5" t="str">
        <f t="shared" si="45"/>
        <v>2869</v>
      </c>
      <c r="E344" s="6" t="str">
        <f t="shared" si="46"/>
        <v>Выданные гарантии</v>
      </c>
      <c r="F344" s="3" t="str">
        <f>"1"</f>
        <v>1</v>
      </c>
      <c r="G344" s="3" t="str">
        <f>"7"</f>
        <v>7</v>
      </c>
      <c r="H344" s="3" t="str">
        <f>"3"</f>
        <v>3</v>
      </c>
      <c r="I344" s="7">
        <v>40563325.25</v>
      </c>
    </row>
    <row r="345" spans="1:9" x14ac:dyDescent="0.25">
      <c r="A345" s="3">
        <v>338</v>
      </c>
      <c r="B345" s="4">
        <v>45289</v>
      </c>
      <c r="C345" s="3">
        <v>15</v>
      </c>
      <c r="D345" s="5" t="str">
        <f t="shared" ref="D345:D355" si="47">"2870"</f>
        <v>2870</v>
      </c>
      <c r="E345" s="6" t="str">
        <f t="shared" ref="E345:E355" si="48">"Прочие транзитные счета"</f>
        <v>Прочие транзитные счета</v>
      </c>
      <c r="F345" s="3" t="str">
        <f>"2"</f>
        <v>2</v>
      </c>
      <c r="G345" s="3" t="str">
        <f>"7"</f>
        <v>7</v>
      </c>
      <c r="H345" s="3" t="str">
        <f>"1"</f>
        <v>1</v>
      </c>
      <c r="I345" s="7">
        <v>26400</v>
      </c>
    </row>
    <row r="346" spans="1:9" x14ac:dyDescent="0.25">
      <c r="A346" s="3">
        <v>339</v>
      </c>
      <c r="B346" s="4">
        <v>45289</v>
      </c>
      <c r="C346" s="3">
        <v>15</v>
      </c>
      <c r="D346" s="5" t="str">
        <f t="shared" si="47"/>
        <v>2870</v>
      </c>
      <c r="E346" s="6" t="str">
        <f t="shared" si="48"/>
        <v>Прочие транзитные счета</v>
      </c>
      <c r="F346" s="3" t="str">
        <f>"2"</f>
        <v>2</v>
      </c>
      <c r="G346" s="3" t="str">
        <f>"5"</f>
        <v>5</v>
      </c>
      <c r="H346" s="3" t="str">
        <f>"2"</f>
        <v>2</v>
      </c>
      <c r="I346" s="7">
        <v>10615842.130000001</v>
      </c>
    </row>
    <row r="347" spans="1:9" x14ac:dyDescent="0.25">
      <c r="A347" s="3">
        <v>340</v>
      </c>
      <c r="B347" s="4">
        <v>45289</v>
      </c>
      <c r="C347" s="3">
        <v>15</v>
      </c>
      <c r="D347" s="5" t="str">
        <f t="shared" si="47"/>
        <v>2870</v>
      </c>
      <c r="E347" s="6" t="str">
        <f t="shared" si="48"/>
        <v>Прочие транзитные счета</v>
      </c>
      <c r="F347" s="3" t="str">
        <f>"2"</f>
        <v>2</v>
      </c>
      <c r="G347" s="3" t="str">
        <f>"7"</f>
        <v>7</v>
      </c>
      <c r="H347" s="3" t="str">
        <f>"2"</f>
        <v>2</v>
      </c>
      <c r="I347" s="7">
        <v>4.55</v>
      </c>
    </row>
    <row r="348" spans="1:9" x14ac:dyDescent="0.25">
      <c r="A348" s="3">
        <v>341</v>
      </c>
      <c r="B348" s="4">
        <v>45289</v>
      </c>
      <c r="C348" s="3">
        <v>15</v>
      </c>
      <c r="D348" s="5" t="str">
        <f t="shared" si="47"/>
        <v>2870</v>
      </c>
      <c r="E348" s="6" t="str">
        <f t="shared" si="48"/>
        <v>Прочие транзитные счета</v>
      </c>
      <c r="F348" s="3" t="str">
        <f>"1"</f>
        <v>1</v>
      </c>
      <c r="G348" s="3" t="str">
        <f>"4"</f>
        <v>4</v>
      </c>
      <c r="H348" s="3" t="str">
        <f>"1"</f>
        <v>1</v>
      </c>
      <c r="I348" s="7">
        <v>16546053.460000001</v>
      </c>
    </row>
    <row r="349" spans="1:9" x14ac:dyDescent="0.25">
      <c r="A349" s="3">
        <v>342</v>
      </c>
      <c r="B349" s="4">
        <v>45289</v>
      </c>
      <c r="C349" s="3">
        <v>15</v>
      </c>
      <c r="D349" s="5" t="str">
        <f t="shared" si="47"/>
        <v>2870</v>
      </c>
      <c r="E349" s="6" t="str">
        <f t="shared" si="48"/>
        <v>Прочие транзитные счета</v>
      </c>
      <c r="F349" s="3" t="str">
        <f>"2"</f>
        <v>2</v>
      </c>
      <c r="G349" s="3" t="str">
        <f>"5"</f>
        <v>5</v>
      </c>
      <c r="H349" s="3" t="str">
        <f>"1"</f>
        <v>1</v>
      </c>
      <c r="I349" s="7">
        <v>121954279.55</v>
      </c>
    </row>
    <row r="350" spans="1:9" x14ac:dyDescent="0.25">
      <c r="A350" s="3">
        <v>343</v>
      </c>
      <c r="B350" s="4">
        <v>45289</v>
      </c>
      <c r="C350" s="3">
        <v>15</v>
      </c>
      <c r="D350" s="5" t="str">
        <f t="shared" si="47"/>
        <v>2870</v>
      </c>
      <c r="E350" s="6" t="str">
        <f t="shared" si="48"/>
        <v>Прочие транзитные счета</v>
      </c>
      <c r="F350" s="3" t="str">
        <f t="shared" ref="F350:F356" si="49">"1"</f>
        <v>1</v>
      </c>
      <c r="G350" s="3" t="str">
        <f>"4"</f>
        <v>4</v>
      </c>
      <c r="H350" s="3" t="str">
        <f>"2"</f>
        <v>2</v>
      </c>
      <c r="I350" s="7">
        <v>2623447.58</v>
      </c>
    </row>
    <row r="351" spans="1:9" x14ac:dyDescent="0.25">
      <c r="A351" s="3">
        <v>344</v>
      </c>
      <c r="B351" s="4">
        <v>45289</v>
      </c>
      <c r="C351" s="3">
        <v>15</v>
      </c>
      <c r="D351" s="5" t="str">
        <f t="shared" si="47"/>
        <v>2870</v>
      </c>
      <c r="E351" s="6" t="str">
        <f t="shared" si="48"/>
        <v>Прочие транзитные счета</v>
      </c>
      <c r="F351" s="3" t="str">
        <f t="shared" si="49"/>
        <v>1</v>
      </c>
      <c r="G351" s="3" t="str">
        <f>"9"</f>
        <v>9</v>
      </c>
      <c r="H351" s="3" t="str">
        <f>"2"</f>
        <v>2</v>
      </c>
      <c r="I351" s="7">
        <v>9348816.3900000006</v>
      </c>
    </row>
    <row r="352" spans="1:9" x14ac:dyDescent="0.25">
      <c r="A352" s="3">
        <v>345</v>
      </c>
      <c r="B352" s="4">
        <v>45289</v>
      </c>
      <c r="C352" s="3">
        <v>15</v>
      </c>
      <c r="D352" s="5" t="str">
        <f t="shared" si="47"/>
        <v>2870</v>
      </c>
      <c r="E352" s="6" t="str">
        <f t="shared" si="48"/>
        <v>Прочие транзитные счета</v>
      </c>
      <c r="F352" s="3" t="str">
        <f t="shared" si="49"/>
        <v>1</v>
      </c>
      <c r="G352" s="3" t="str">
        <f>"7"</f>
        <v>7</v>
      </c>
      <c r="H352" s="3" t="str">
        <f>"2"</f>
        <v>2</v>
      </c>
      <c r="I352" s="7">
        <v>86441466.939999998</v>
      </c>
    </row>
    <row r="353" spans="1:9" x14ac:dyDescent="0.25">
      <c r="A353" s="3">
        <v>346</v>
      </c>
      <c r="B353" s="4">
        <v>45289</v>
      </c>
      <c r="C353" s="3">
        <v>15</v>
      </c>
      <c r="D353" s="5" t="str">
        <f t="shared" si="47"/>
        <v>2870</v>
      </c>
      <c r="E353" s="6" t="str">
        <f t="shared" si="48"/>
        <v>Прочие транзитные счета</v>
      </c>
      <c r="F353" s="3" t="str">
        <f t="shared" si="49"/>
        <v>1</v>
      </c>
      <c r="G353" s="3" t="str">
        <f>"7"</f>
        <v>7</v>
      </c>
      <c r="H353" s="3" t="str">
        <f>"1"</f>
        <v>1</v>
      </c>
      <c r="I353" s="7">
        <v>8500139.5800000001</v>
      </c>
    </row>
    <row r="354" spans="1:9" x14ac:dyDescent="0.25">
      <c r="A354" s="3">
        <v>347</v>
      </c>
      <c r="B354" s="4">
        <v>45289</v>
      </c>
      <c r="C354" s="3">
        <v>15</v>
      </c>
      <c r="D354" s="5" t="str">
        <f t="shared" si="47"/>
        <v>2870</v>
      </c>
      <c r="E354" s="6" t="str">
        <f t="shared" si="48"/>
        <v>Прочие транзитные счета</v>
      </c>
      <c r="F354" s="3" t="str">
        <f t="shared" si="49"/>
        <v>1</v>
      </c>
      <c r="G354" s="3" t="str">
        <f>"9"</f>
        <v>9</v>
      </c>
      <c r="H354" s="3" t="str">
        <f>"1"</f>
        <v>1</v>
      </c>
      <c r="I354" s="7">
        <v>18105741.98</v>
      </c>
    </row>
    <row r="355" spans="1:9" x14ac:dyDescent="0.25">
      <c r="A355" s="3">
        <v>348</v>
      </c>
      <c r="B355" s="4">
        <v>45289</v>
      </c>
      <c r="C355" s="3">
        <v>15</v>
      </c>
      <c r="D355" s="5" t="str">
        <f t="shared" si="47"/>
        <v>2870</v>
      </c>
      <c r="E355" s="6" t="str">
        <f t="shared" si="48"/>
        <v>Прочие транзитные счета</v>
      </c>
      <c r="F355" s="3" t="str">
        <f t="shared" si="49"/>
        <v>1</v>
      </c>
      <c r="G355" s="3" t="str">
        <f>"7"</f>
        <v>7</v>
      </c>
      <c r="H355" s="3" t="str">
        <f>"3"</f>
        <v>3</v>
      </c>
      <c r="I355" s="7">
        <v>895970951.36000001</v>
      </c>
    </row>
    <row r="356" spans="1:9" x14ac:dyDescent="0.25">
      <c r="A356" s="3">
        <v>349</v>
      </c>
      <c r="B356" s="4">
        <v>45289</v>
      </c>
      <c r="C356" s="3">
        <v>15</v>
      </c>
      <c r="D356" s="5" t="str">
        <f>"2875"</f>
        <v>2875</v>
      </c>
      <c r="E356" s="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56" s="3" t="str">
        <f t="shared" si="49"/>
        <v>1</v>
      </c>
      <c r="G356" s="3" t="str">
        <f>"7"</f>
        <v>7</v>
      </c>
      <c r="H356" s="3" t="str">
        <f>"2"</f>
        <v>2</v>
      </c>
      <c r="I356" s="7">
        <v>163145920.50999999</v>
      </c>
    </row>
    <row r="357" spans="1:9" x14ac:dyDescent="0.25">
      <c r="A357" s="3">
        <v>350</v>
      </c>
      <c r="B357" s="4">
        <v>45289</v>
      </c>
      <c r="C357" s="3">
        <v>15</v>
      </c>
      <c r="D357" s="5" t="str">
        <f>"2875"</f>
        <v>2875</v>
      </c>
      <c r="E357" s="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57" s="3" t="str">
        <f>"2"</f>
        <v>2</v>
      </c>
      <c r="G357" s="3" t="str">
        <f>"9"</f>
        <v>9</v>
      </c>
      <c r="H357" s="3" t="str">
        <f>"1"</f>
        <v>1</v>
      </c>
      <c r="I357" s="7">
        <v>1028958.43</v>
      </c>
    </row>
    <row r="358" spans="1:9" x14ac:dyDescent="0.25">
      <c r="A358" s="3">
        <v>351</v>
      </c>
      <c r="B358" s="4">
        <v>45289</v>
      </c>
      <c r="C358" s="3">
        <v>15</v>
      </c>
      <c r="D358" s="5" t="str">
        <f>"2875"</f>
        <v>2875</v>
      </c>
      <c r="E358" s="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58" s="3" t="str">
        <f>"1"</f>
        <v>1</v>
      </c>
      <c r="G358" s="3" t="str">
        <f>"9"</f>
        <v>9</v>
      </c>
      <c r="H358" s="3" t="str">
        <f>"1"</f>
        <v>1</v>
      </c>
      <c r="I358" s="7">
        <v>19984210.899999999</v>
      </c>
    </row>
    <row r="359" spans="1:9" x14ac:dyDescent="0.25">
      <c r="A359" s="3">
        <v>352</v>
      </c>
      <c r="B359" s="4">
        <v>45289</v>
      </c>
      <c r="C359" s="3">
        <v>15</v>
      </c>
      <c r="D359" s="5" t="str">
        <f>"2880"</f>
        <v>2880</v>
      </c>
      <c r="E359" s="6" t="str">
        <f>"Обязательства по секьюритизируемым активам"</f>
        <v>Обязательства по секьюритизируемым активам</v>
      </c>
      <c r="F359" s="3" t="str">
        <f>"1"</f>
        <v>1</v>
      </c>
      <c r="G359" s="3">
        <v>0</v>
      </c>
      <c r="H359" s="3" t="str">
        <f>"1"</f>
        <v>1</v>
      </c>
      <c r="I359" s="7">
        <v>13965931388.870001</v>
      </c>
    </row>
    <row r="360" spans="1:9" x14ac:dyDescent="0.25">
      <c r="A360" s="3">
        <v>353</v>
      </c>
      <c r="B360" s="4">
        <v>45289</v>
      </c>
      <c r="C360" s="3">
        <v>15</v>
      </c>
      <c r="D360" s="5" t="str">
        <f>"2894"</f>
        <v>2894</v>
      </c>
      <c r="E360" s="6" t="str">
        <f>"Обязательства по операциям спот"</f>
        <v>Обязательства по операциям спот</v>
      </c>
      <c r="F360" s="3" t="str">
        <f>"1"</f>
        <v>1</v>
      </c>
      <c r="G360" s="3" t="str">
        <f>"5"</f>
        <v>5</v>
      </c>
      <c r="H360" s="3" t="str">
        <f>"1"</f>
        <v>1</v>
      </c>
      <c r="I360" s="7">
        <v>720000</v>
      </c>
    </row>
    <row r="361" spans="1:9" x14ac:dyDescent="0.25">
      <c r="A361" s="3">
        <v>354</v>
      </c>
      <c r="B361" s="4">
        <v>45289</v>
      </c>
      <c r="C361" s="3">
        <v>15</v>
      </c>
      <c r="D361" s="5" t="str">
        <f>"2895"</f>
        <v>2895</v>
      </c>
      <c r="E361" s="6" t="str">
        <f>"Обязательства по операциям своп"</f>
        <v>Обязательства по операциям своп</v>
      </c>
      <c r="F361" s="3" t="str">
        <f>"2"</f>
        <v>2</v>
      </c>
      <c r="G361" s="3" t="str">
        <f>"4"</f>
        <v>4</v>
      </c>
      <c r="H361" s="3" t="str">
        <f>"1"</f>
        <v>1</v>
      </c>
      <c r="I361" s="7">
        <v>7559847.29</v>
      </c>
    </row>
    <row r="362" spans="1:9" x14ac:dyDescent="0.25">
      <c r="A362" s="3">
        <v>355</v>
      </c>
      <c r="B362" s="4">
        <v>45289</v>
      </c>
      <c r="C362" s="3">
        <v>15</v>
      </c>
      <c r="D362" s="5" t="str">
        <f>"3001"</f>
        <v>3001</v>
      </c>
      <c r="E362" s="6" t="str">
        <f>"Уставный капитал – простые акции"</f>
        <v>Уставный капитал – простые акции</v>
      </c>
      <c r="F362" s="3">
        <v>0</v>
      </c>
      <c r="G362" s="3">
        <v>0</v>
      </c>
      <c r="H362" s="3">
        <v>0</v>
      </c>
      <c r="I362" s="7">
        <v>7050000000</v>
      </c>
    </row>
    <row r="363" spans="1:9" x14ac:dyDescent="0.25">
      <c r="A363" s="3">
        <v>356</v>
      </c>
      <c r="B363" s="4">
        <v>45289</v>
      </c>
      <c r="C363" s="3">
        <v>15</v>
      </c>
      <c r="D363" s="5" t="str">
        <f>"3101"</f>
        <v>3101</v>
      </c>
      <c r="E363" s="6" t="str">
        <f>"Дополнительный оплаченный капитал"</f>
        <v>Дополнительный оплаченный капитал</v>
      </c>
      <c r="F363" s="3">
        <v>0</v>
      </c>
      <c r="G363" s="3">
        <v>0</v>
      </c>
      <c r="H363" s="3">
        <v>0</v>
      </c>
      <c r="I363" s="7">
        <v>220972887.09999999</v>
      </c>
    </row>
    <row r="364" spans="1:9" x14ac:dyDescent="0.25">
      <c r="A364" s="3">
        <v>357</v>
      </c>
      <c r="B364" s="4">
        <v>45289</v>
      </c>
      <c r="C364" s="3">
        <v>15</v>
      </c>
      <c r="D364" s="5" t="str">
        <f>"3540"</f>
        <v>3540</v>
      </c>
      <c r="E364" s="6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64" s="3">
        <v>0</v>
      </c>
      <c r="G364" s="3">
        <v>0</v>
      </c>
      <c r="H364" s="3">
        <v>0</v>
      </c>
      <c r="I364" s="7">
        <v>96059335.480000004</v>
      </c>
    </row>
    <row r="365" spans="1:9" x14ac:dyDescent="0.25">
      <c r="A365" s="3">
        <v>358</v>
      </c>
      <c r="B365" s="4">
        <v>45289</v>
      </c>
      <c r="C365" s="3">
        <v>15</v>
      </c>
      <c r="D365" s="5" t="str">
        <f>"3561"</f>
        <v>3561</v>
      </c>
      <c r="E365" s="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65" s="3" t="str">
        <f>"1"</f>
        <v>1</v>
      </c>
      <c r="G365" s="3">
        <v>0</v>
      </c>
      <c r="H365" s="3" t="str">
        <f>"1"</f>
        <v>1</v>
      </c>
      <c r="I365" s="7">
        <v>-396033523.73000002</v>
      </c>
    </row>
    <row r="366" spans="1:9" x14ac:dyDescent="0.25">
      <c r="A366" s="3">
        <v>359</v>
      </c>
      <c r="B366" s="4">
        <v>45289</v>
      </c>
      <c r="C366" s="3">
        <v>15</v>
      </c>
      <c r="D366" s="5" t="str">
        <f>"3561"</f>
        <v>3561</v>
      </c>
      <c r="E366" s="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66" s="3" t="str">
        <f>"1"</f>
        <v>1</v>
      </c>
      <c r="G366" s="3">
        <v>0</v>
      </c>
      <c r="H366" s="3" t="str">
        <f>"2"</f>
        <v>2</v>
      </c>
      <c r="I366" s="7">
        <v>-1289312124.77</v>
      </c>
    </row>
    <row r="367" spans="1:9" x14ac:dyDescent="0.25">
      <c r="A367" s="3">
        <v>360</v>
      </c>
      <c r="B367" s="4">
        <v>45289</v>
      </c>
      <c r="C367" s="3">
        <v>15</v>
      </c>
      <c r="D367" s="5" t="str">
        <f>"3562"</f>
        <v>3562</v>
      </c>
      <c r="E367" s="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67" s="3" t="str">
        <f>"1"</f>
        <v>1</v>
      </c>
      <c r="G367" s="3">
        <v>0</v>
      </c>
      <c r="H367" s="3" t="str">
        <f>"2"</f>
        <v>2</v>
      </c>
      <c r="I367" s="7">
        <v>58183485.960000001</v>
      </c>
    </row>
    <row r="368" spans="1:9" x14ac:dyDescent="0.25">
      <c r="A368" s="3">
        <v>361</v>
      </c>
      <c r="B368" s="4">
        <v>45289</v>
      </c>
      <c r="C368" s="3">
        <v>15</v>
      </c>
      <c r="D368" s="5" t="str">
        <f>"3580"</f>
        <v>3580</v>
      </c>
      <c r="E368" s="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68" s="3">
        <v>0</v>
      </c>
      <c r="G368" s="3">
        <v>0</v>
      </c>
      <c r="H368" s="3">
        <v>0</v>
      </c>
      <c r="I368" s="7">
        <v>78231336718.960007</v>
      </c>
    </row>
    <row r="369" spans="1:9" x14ac:dyDescent="0.25">
      <c r="A369" s="3">
        <v>362</v>
      </c>
      <c r="B369" s="4">
        <v>45289</v>
      </c>
      <c r="C369" s="3">
        <v>15</v>
      </c>
      <c r="D369" s="5" t="str">
        <f>"3599"</f>
        <v>3599</v>
      </c>
      <c r="E369" s="6" t="str">
        <f>"Нераспределенная чистая прибыль (непокрытый убыток)"</f>
        <v>Нераспределенная чистая прибыль (непокрытый убыток)</v>
      </c>
      <c r="F369" s="3">
        <v>0</v>
      </c>
      <c r="G369" s="3">
        <v>0</v>
      </c>
      <c r="H369" s="3">
        <v>0</v>
      </c>
      <c r="I369" s="7">
        <v>34003710072.23</v>
      </c>
    </row>
    <row r="370" spans="1:9" x14ac:dyDescent="0.25">
      <c r="A370" s="3">
        <v>363</v>
      </c>
      <c r="B370" s="4">
        <v>45289</v>
      </c>
      <c r="C370" s="3">
        <v>15</v>
      </c>
      <c r="D370" s="5" t="str">
        <f>"4052"</f>
        <v>4052</v>
      </c>
      <c r="E370" s="6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370" s="3">
        <v>0</v>
      </c>
      <c r="G370" s="3">
        <v>0</v>
      </c>
      <c r="H370" s="3">
        <v>0</v>
      </c>
      <c r="I370" s="7">
        <v>417861378.94</v>
      </c>
    </row>
    <row r="371" spans="1:9" x14ac:dyDescent="0.25">
      <c r="A371" s="3">
        <v>364</v>
      </c>
      <c r="B371" s="4">
        <v>45289</v>
      </c>
      <c r="C371" s="3">
        <v>15</v>
      </c>
      <c r="D371" s="5" t="str">
        <f>"4101"</f>
        <v>4101</v>
      </c>
      <c r="E371" s="6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371" s="3">
        <v>0</v>
      </c>
      <c r="G371" s="3">
        <v>0</v>
      </c>
      <c r="H371" s="3">
        <v>0</v>
      </c>
      <c r="I371" s="7">
        <v>319354166.67000002</v>
      </c>
    </row>
    <row r="372" spans="1:9" x14ac:dyDescent="0.25">
      <c r="A372" s="3">
        <v>365</v>
      </c>
      <c r="B372" s="4">
        <v>45289</v>
      </c>
      <c r="C372" s="3">
        <v>15</v>
      </c>
      <c r="D372" s="5" t="str">
        <f>"4103"</f>
        <v>4103</v>
      </c>
      <c r="E372" s="6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372" s="3">
        <v>0</v>
      </c>
      <c r="G372" s="3">
        <v>0</v>
      </c>
      <c r="H372" s="3">
        <v>0</v>
      </c>
      <c r="I372" s="7">
        <v>6379379646.1099997</v>
      </c>
    </row>
    <row r="373" spans="1:9" x14ac:dyDescent="0.25">
      <c r="A373" s="3">
        <v>366</v>
      </c>
      <c r="B373" s="4">
        <v>45289</v>
      </c>
      <c r="C373" s="3">
        <v>15</v>
      </c>
      <c r="D373" s="5" t="str">
        <f>"4251"</f>
        <v>4251</v>
      </c>
      <c r="E373" s="6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373" s="3">
        <v>0</v>
      </c>
      <c r="G373" s="3">
        <v>0</v>
      </c>
      <c r="H373" s="3">
        <v>0</v>
      </c>
      <c r="I373" s="7">
        <v>266666.67</v>
      </c>
    </row>
    <row r="374" spans="1:9" x14ac:dyDescent="0.25">
      <c r="A374" s="3">
        <v>367</v>
      </c>
      <c r="B374" s="4">
        <v>45289</v>
      </c>
      <c r="C374" s="3">
        <v>15</v>
      </c>
      <c r="D374" s="5" t="str">
        <f>"4253"</f>
        <v>4253</v>
      </c>
      <c r="E374" s="6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374" s="3">
        <v>0</v>
      </c>
      <c r="G374" s="3">
        <v>0</v>
      </c>
      <c r="H374" s="3">
        <v>0</v>
      </c>
      <c r="I374" s="7">
        <v>52644840.850000001</v>
      </c>
    </row>
    <row r="375" spans="1:9" x14ac:dyDescent="0.25">
      <c r="A375" s="3">
        <v>368</v>
      </c>
      <c r="B375" s="4">
        <v>45289</v>
      </c>
      <c r="C375" s="3">
        <v>15</v>
      </c>
      <c r="D375" s="5" t="str">
        <f>"4254"</f>
        <v>4254</v>
      </c>
      <c r="E375" s="6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375" s="3">
        <v>0</v>
      </c>
      <c r="G375" s="3">
        <v>0</v>
      </c>
      <c r="H375" s="3">
        <v>0</v>
      </c>
      <c r="I375" s="7">
        <v>529031946.69</v>
      </c>
    </row>
    <row r="376" spans="1:9" x14ac:dyDescent="0.25">
      <c r="A376" s="3">
        <v>369</v>
      </c>
      <c r="B376" s="4">
        <v>45289</v>
      </c>
      <c r="C376" s="3">
        <v>15</v>
      </c>
      <c r="D376" s="5" t="str">
        <f>"4265"</f>
        <v>4265</v>
      </c>
      <c r="E376" s="6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376" s="3">
        <v>0</v>
      </c>
      <c r="G376" s="3">
        <v>0</v>
      </c>
      <c r="H376" s="3">
        <v>0</v>
      </c>
      <c r="I376" s="7">
        <v>81601949.329999998</v>
      </c>
    </row>
    <row r="377" spans="1:9" x14ac:dyDescent="0.25">
      <c r="A377" s="3">
        <v>370</v>
      </c>
      <c r="B377" s="4">
        <v>45289</v>
      </c>
      <c r="C377" s="3">
        <v>15</v>
      </c>
      <c r="D377" s="5" t="str">
        <f>"4302"</f>
        <v>4302</v>
      </c>
      <c r="E377" s="6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377" s="3">
        <v>0</v>
      </c>
      <c r="G377" s="3">
        <v>0</v>
      </c>
      <c r="H377" s="3">
        <v>0</v>
      </c>
      <c r="I377" s="7">
        <v>61923654.530000001</v>
      </c>
    </row>
    <row r="378" spans="1:9" x14ac:dyDescent="0.25">
      <c r="A378" s="3">
        <v>371</v>
      </c>
      <c r="B378" s="4">
        <v>45289</v>
      </c>
      <c r="C378" s="3">
        <v>15</v>
      </c>
      <c r="D378" s="5" t="str">
        <f>"4304"</f>
        <v>4304</v>
      </c>
      <c r="E378" s="6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378" s="3">
        <v>0</v>
      </c>
      <c r="G378" s="3">
        <v>0</v>
      </c>
      <c r="H378" s="3">
        <v>0</v>
      </c>
      <c r="I378" s="7">
        <v>280854439.31</v>
      </c>
    </row>
    <row r="379" spans="1:9" x14ac:dyDescent="0.25">
      <c r="A379" s="3">
        <v>372</v>
      </c>
      <c r="B379" s="4">
        <v>45289</v>
      </c>
      <c r="C379" s="3">
        <v>15</v>
      </c>
      <c r="D379" s="5" t="str">
        <f>"4312"</f>
        <v>4312</v>
      </c>
      <c r="E379" s="6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379" s="3">
        <v>0</v>
      </c>
      <c r="G379" s="3">
        <v>0</v>
      </c>
      <c r="H379" s="3">
        <v>0</v>
      </c>
      <c r="I379" s="7">
        <v>14548793.84</v>
      </c>
    </row>
    <row r="380" spans="1:9" x14ac:dyDescent="0.25">
      <c r="A380" s="3">
        <v>373</v>
      </c>
      <c r="B380" s="4">
        <v>45289</v>
      </c>
      <c r="C380" s="3">
        <v>15</v>
      </c>
      <c r="D380" s="5" t="str">
        <f>"4401"</f>
        <v>4401</v>
      </c>
      <c r="E380" s="6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380" s="3">
        <v>0</v>
      </c>
      <c r="G380" s="3">
        <v>0</v>
      </c>
      <c r="H380" s="3">
        <v>0</v>
      </c>
      <c r="I380" s="7">
        <v>115286480.34</v>
      </c>
    </row>
    <row r="381" spans="1:9" x14ac:dyDescent="0.25">
      <c r="A381" s="3">
        <v>374</v>
      </c>
      <c r="B381" s="4">
        <v>45289</v>
      </c>
      <c r="C381" s="3">
        <v>15</v>
      </c>
      <c r="D381" s="5" t="str">
        <f>"4403"</f>
        <v>4403</v>
      </c>
      <c r="E381" s="6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381" s="3">
        <v>0</v>
      </c>
      <c r="G381" s="3">
        <v>0</v>
      </c>
      <c r="H381" s="3">
        <v>0</v>
      </c>
      <c r="I381" s="7">
        <v>249751703.77000001</v>
      </c>
    </row>
    <row r="382" spans="1:9" x14ac:dyDescent="0.25">
      <c r="A382" s="3">
        <v>375</v>
      </c>
      <c r="B382" s="4">
        <v>45289</v>
      </c>
      <c r="C382" s="3">
        <v>15</v>
      </c>
      <c r="D382" s="5" t="str">
        <f>"4411"</f>
        <v>4411</v>
      </c>
      <c r="E382" s="6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382" s="3">
        <v>0</v>
      </c>
      <c r="G382" s="3">
        <v>0</v>
      </c>
      <c r="H382" s="3">
        <v>0</v>
      </c>
      <c r="I382" s="7">
        <v>10860685526.719999</v>
      </c>
    </row>
    <row r="383" spans="1:9" x14ac:dyDescent="0.25">
      <c r="A383" s="3">
        <v>376</v>
      </c>
      <c r="B383" s="4">
        <v>45289</v>
      </c>
      <c r="C383" s="3">
        <v>15</v>
      </c>
      <c r="D383" s="5" t="str">
        <f>"4417"</f>
        <v>4417</v>
      </c>
      <c r="E383" s="6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383" s="3">
        <v>0</v>
      </c>
      <c r="G383" s="3">
        <v>0</v>
      </c>
      <c r="H383" s="3">
        <v>0</v>
      </c>
      <c r="I383" s="7">
        <v>42933166716.739998</v>
      </c>
    </row>
    <row r="384" spans="1:9" x14ac:dyDescent="0.25">
      <c r="A384" s="3">
        <v>377</v>
      </c>
      <c r="B384" s="4">
        <v>45289</v>
      </c>
      <c r="C384" s="3">
        <v>15</v>
      </c>
      <c r="D384" s="5" t="str">
        <f>"4424"</f>
        <v>4424</v>
      </c>
      <c r="E384" s="6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384" s="3">
        <v>0</v>
      </c>
      <c r="G384" s="3">
        <v>0</v>
      </c>
      <c r="H384" s="3">
        <v>0</v>
      </c>
      <c r="I384" s="7">
        <v>220837830.27000001</v>
      </c>
    </row>
    <row r="385" spans="1:9" x14ac:dyDescent="0.25">
      <c r="A385" s="3">
        <v>378</v>
      </c>
      <c r="B385" s="4">
        <v>45289</v>
      </c>
      <c r="C385" s="3">
        <v>15</v>
      </c>
      <c r="D385" s="5" t="str">
        <f>"4429"</f>
        <v>4429</v>
      </c>
      <c r="E385" s="6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385" s="3">
        <v>0</v>
      </c>
      <c r="G385" s="3">
        <v>0</v>
      </c>
      <c r="H385" s="3">
        <v>0</v>
      </c>
      <c r="I385" s="7">
        <v>30135905.559999999</v>
      </c>
    </row>
    <row r="386" spans="1:9" x14ac:dyDescent="0.25">
      <c r="A386" s="3">
        <v>379</v>
      </c>
      <c r="B386" s="4">
        <v>45289</v>
      </c>
      <c r="C386" s="3">
        <v>15</v>
      </c>
      <c r="D386" s="5" t="str">
        <f>"4434"</f>
        <v>4434</v>
      </c>
      <c r="E386" s="6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386" s="3">
        <v>0</v>
      </c>
      <c r="G386" s="3">
        <v>0</v>
      </c>
      <c r="H386" s="3">
        <v>0</v>
      </c>
      <c r="I386" s="7">
        <v>1399602133.1099999</v>
      </c>
    </row>
    <row r="387" spans="1:9" x14ac:dyDescent="0.25">
      <c r="A387" s="3">
        <v>380</v>
      </c>
      <c r="B387" s="4">
        <v>45289</v>
      </c>
      <c r="C387" s="3">
        <v>15</v>
      </c>
      <c r="D387" s="5" t="str">
        <f>"4452"</f>
        <v>4452</v>
      </c>
      <c r="E387" s="6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387" s="3">
        <v>0</v>
      </c>
      <c r="G387" s="3">
        <v>0</v>
      </c>
      <c r="H387" s="3">
        <v>0</v>
      </c>
      <c r="I387" s="7">
        <v>6944292981.79</v>
      </c>
    </row>
    <row r="388" spans="1:9" x14ac:dyDescent="0.25">
      <c r="A388" s="3">
        <v>381</v>
      </c>
      <c r="B388" s="4">
        <v>45289</v>
      </c>
      <c r="C388" s="3">
        <v>15</v>
      </c>
      <c r="D388" s="5" t="str">
        <f>"4453"</f>
        <v>4453</v>
      </c>
      <c r="E388" s="6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388" s="3">
        <v>0</v>
      </c>
      <c r="G388" s="3">
        <v>0</v>
      </c>
      <c r="H388" s="3">
        <v>0</v>
      </c>
      <c r="I388" s="7">
        <v>15624272959.280001</v>
      </c>
    </row>
    <row r="389" spans="1:9" x14ac:dyDescent="0.25">
      <c r="A389" s="3">
        <v>382</v>
      </c>
      <c r="B389" s="4">
        <v>45289</v>
      </c>
      <c r="C389" s="3">
        <v>15</v>
      </c>
      <c r="D389" s="5" t="str">
        <f>"4465"</f>
        <v>4465</v>
      </c>
      <c r="E389" s="6" t="str">
        <f>"Доходы по операциям «РЕПО» с ценными бумагами"</f>
        <v>Доходы по операциям «РЕПО» с ценными бумагами</v>
      </c>
      <c r="F389" s="3">
        <v>0</v>
      </c>
      <c r="G389" s="3">
        <v>0</v>
      </c>
      <c r="H389" s="3">
        <v>0</v>
      </c>
      <c r="I389" s="7">
        <v>332081553.47000003</v>
      </c>
    </row>
    <row r="390" spans="1:9" x14ac:dyDescent="0.25">
      <c r="A390" s="3">
        <v>383</v>
      </c>
      <c r="B390" s="4">
        <v>45289</v>
      </c>
      <c r="C390" s="3">
        <v>15</v>
      </c>
      <c r="D390" s="5" t="str">
        <f>"4481"</f>
        <v>4481</v>
      </c>
      <c r="E390" s="6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390" s="3">
        <v>0</v>
      </c>
      <c r="G390" s="3">
        <v>0</v>
      </c>
      <c r="H390" s="3">
        <v>0</v>
      </c>
      <c r="I390" s="7">
        <v>7360616369.21</v>
      </c>
    </row>
    <row r="391" spans="1:9" x14ac:dyDescent="0.25">
      <c r="A391" s="3">
        <v>384</v>
      </c>
      <c r="B391" s="4">
        <v>45289</v>
      </c>
      <c r="C391" s="3">
        <v>15</v>
      </c>
      <c r="D391" s="5" t="str">
        <f>"4482"</f>
        <v>4482</v>
      </c>
      <c r="E391" s="6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391" s="3">
        <v>0</v>
      </c>
      <c r="G391" s="3">
        <v>0</v>
      </c>
      <c r="H391" s="3">
        <v>0</v>
      </c>
      <c r="I391" s="7">
        <v>1679027879.29</v>
      </c>
    </row>
    <row r="392" spans="1:9" x14ac:dyDescent="0.25">
      <c r="A392" s="3">
        <v>385</v>
      </c>
      <c r="B392" s="4">
        <v>45289</v>
      </c>
      <c r="C392" s="3">
        <v>15</v>
      </c>
      <c r="D392" s="5" t="str">
        <f>"4510"</f>
        <v>4510</v>
      </c>
      <c r="E392" s="6" t="str">
        <f>"Доходы по купле-продаже ценных бумаг"</f>
        <v>Доходы по купле-продаже ценных бумаг</v>
      </c>
      <c r="F392" s="3">
        <v>0</v>
      </c>
      <c r="G392" s="3">
        <v>0</v>
      </c>
      <c r="H392" s="3">
        <v>0</v>
      </c>
      <c r="I392" s="7">
        <v>179960</v>
      </c>
    </row>
    <row r="393" spans="1:9" x14ac:dyDescent="0.25">
      <c r="A393" s="3">
        <v>386</v>
      </c>
      <c r="B393" s="4">
        <v>45289</v>
      </c>
      <c r="C393" s="3">
        <v>15</v>
      </c>
      <c r="D393" s="5" t="str">
        <f>"4530"</f>
        <v>4530</v>
      </c>
      <c r="E393" s="6" t="str">
        <f>"Доходы по купле-продаже иностранной валюты"</f>
        <v>Доходы по купле-продаже иностранной валюты</v>
      </c>
      <c r="F393" s="3">
        <v>0</v>
      </c>
      <c r="G393" s="3">
        <v>0</v>
      </c>
      <c r="H393" s="3">
        <v>0</v>
      </c>
      <c r="I393" s="7">
        <v>12996168733.040001</v>
      </c>
    </row>
    <row r="394" spans="1:9" x14ac:dyDescent="0.25">
      <c r="A394" s="3">
        <v>387</v>
      </c>
      <c r="B394" s="4">
        <v>45289</v>
      </c>
      <c r="C394" s="3">
        <v>15</v>
      </c>
      <c r="D394" s="5" t="str">
        <f>"4593"</f>
        <v>4593</v>
      </c>
      <c r="E394" s="6" t="str">
        <f>"Доходы от переоценки операций своп"</f>
        <v>Доходы от переоценки операций своп</v>
      </c>
      <c r="F394" s="3">
        <v>0</v>
      </c>
      <c r="G394" s="3">
        <v>0</v>
      </c>
      <c r="H394" s="3">
        <v>0</v>
      </c>
      <c r="I394" s="7">
        <v>-1800479.03</v>
      </c>
    </row>
    <row r="395" spans="1:9" x14ac:dyDescent="0.25">
      <c r="A395" s="3">
        <v>388</v>
      </c>
      <c r="B395" s="4">
        <v>45289</v>
      </c>
      <c r="C395" s="3">
        <v>15</v>
      </c>
      <c r="D395" s="5" t="str">
        <f>"4601"</f>
        <v>4601</v>
      </c>
      <c r="E395" s="6" t="str">
        <f>"Комиссионные доходы за услуги по переводным операциям"</f>
        <v>Комиссионные доходы за услуги по переводным операциям</v>
      </c>
      <c r="F395" s="3">
        <v>0</v>
      </c>
      <c r="G395" s="3">
        <v>0</v>
      </c>
      <c r="H395" s="3">
        <v>0</v>
      </c>
      <c r="I395" s="7">
        <v>1860447963.8099999</v>
      </c>
    </row>
    <row r="396" spans="1:9" x14ac:dyDescent="0.25">
      <c r="A396" s="3">
        <v>389</v>
      </c>
      <c r="B396" s="4">
        <v>45289</v>
      </c>
      <c r="C396" s="3">
        <v>15</v>
      </c>
      <c r="D396" s="5" t="str">
        <f>"4604"</f>
        <v>4604</v>
      </c>
      <c r="E396" s="6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396" s="3">
        <v>0</v>
      </c>
      <c r="G396" s="3">
        <v>0</v>
      </c>
      <c r="H396" s="3">
        <v>0</v>
      </c>
      <c r="I396" s="7">
        <v>6228405.79</v>
      </c>
    </row>
    <row r="397" spans="1:9" x14ac:dyDescent="0.25">
      <c r="A397" s="3">
        <v>390</v>
      </c>
      <c r="B397" s="4">
        <v>45289</v>
      </c>
      <c r="C397" s="3">
        <v>15</v>
      </c>
      <c r="D397" s="5" t="str">
        <f>"4605"</f>
        <v>4605</v>
      </c>
      <c r="E397" s="6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397" s="3">
        <v>0</v>
      </c>
      <c r="G397" s="3">
        <v>0</v>
      </c>
      <c r="H397" s="3">
        <v>0</v>
      </c>
      <c r="I397" s="7">
        <v>1282840.5900000001</v>
      </c>
    </row>
    <row r="398" spans="1:9" x14ac:dyDescent="0.25">
      <c r="A398" s="3">
        <v>391</v>
      </c>
      <c r="B398" s="4">
        <v>45289</v>
      </c>
      <c r="C398" s="3">
        <v>15</v>
      </c>
      <c r="D398" s="5" t="str">
        <f>"4606"</f>
        <v>4606</v>
      </c>
      <c r="E398" s="6" t="str">
        <f>"Комиссионные доходы за услуги по операциям с гарантиями"</f>
        <v>Комиссионные доходы за услуги по операциям с гарантиями</v>
      </c>
      <c r="F398" s="3">
        <v>0</v>
      </c>
      <c r="G398" s="3">
        <v>0</v>
      </c>
      <c r="H398" s="3">
        <v>0</v>
      </c>
      <c r="I398" s="7">
        <v>526460902.63999999</v>
      </c>
    </row>
    <row r="399" spans="1:9" x14ac:dyDescent="0.25">
      <c r="A399" s="3">
        <v>392</v>
      </c>
      <c r="B399" s="4">
        <v>45289</v>
      </c>
      <c r="C399" s="3">
        <v>15</v>
      </c>
      <c r="D399" s="5" t="str">
        <f>"4607"</f>
        <v>4607</v>
      </c>
      <c r="E399" s="6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399" s="3">
        <v>0</v>
      </c>
      <c r="G399" s="3">
        <v>0</v>
      </c>
      <c r="H399" s="3">
        <v>0</v>
      </c>
      <c r="I399" s="7">
        <v>2161259172.29</v>
      </c>
    </row>
    <row r="400" spans="1:9" x14ac:dyDescent="0.25">
      <c r="A400" s="3">
        <v>393</v>
      </c>
      <c r="B400" s="4">
        <v>45289</v>
      </c>
      <c r="C400" s="3">
        <v>15</v>
      </c>
      <c r="D400" s="5" t="str">
        <f>"4608"</f>
        <v>4608</v>
      </c>
      <c r="E400" s="6" t="str">
        <f>"Прочие комиссионные доходы"</f>
        <v>Прочие комиссионные доходы</v>
      </c>
      <c r="F400" s="3">
        <v>0</v>
      </c>
      <c r="G400" s="3">
        <v>0</v>
      </c>
      <c r="H400" s="3">
        <v>0</v>
      </c>
      <c r="I400" s="7">
        <v>162297634.88</v>
      </c>
    </row>
    <row r="401" spans="1:9" x14ac:dyDescent="0.25">
      <c r="A401" s="3">
        <v>394</v>
      </c>
      <c r="B401" s="4">
        <v>45289</v>
      </c>
      <c r="C401" s="3">
        <v>15</v>
      </c>
      <c r="D401" s="5" t="str">
        <f>"4611"</f>
        <v>4611</v>
      </c>
      <c r="E401" s="6" t="str">
        <f>"Комиссионные доходы за услуги по кассовым операциям"</f>
        <v>Комиссионные доходы за услуги по кассовым операциям</v>
      </c>
      <c r="F401" s="3">
        <v>0</v>
      </c>
      <c r="G401" s="3">
        <v>0</v>
      </c>
      <c r="H401" s="3">
        <v>0</v>
      </c>
      <c r="I401" s="7">
        <v>379926222.54000002</v>
      </c>
    </row>
    <row r="402" spans="1:9" x14ac:dyDescent="0.25">
      <c r="A402" s="3">
        <v>395</v>
      </c>
      <c r="B402" s="4">
        <v>45289</v>
      </c>
      <c r="C402" s="3">
        <v>15</v>
      </c>
      <c r="D402" s="5" t="str">
        <f>"4612"</f>
        <v>4612</v>
      </c>
      <c r="E402" s="6" t="str">
        <f>"Комиссионные доходы по документарным расчетам"</f>
        <v>Комиссионные доходы по документарным расчетам</v>
      </c>
      <c r="F402" s="3">
        <v>0</v>
      </c>
      <c r="G402" s="3">
        <v>0</v>
      </c>
      <c r="H402" s="3">
        <v>0</v>
      </c>
      <c r="I402" s="7">
        <v>526423836.48000002</v>
      </c>
    </row>
    <row r="403" spans="1:9" x14ac:dyDescent="0.25">
      <c r="A403" s="3">
        <v>396</v>
      </c>
      <c r="B403" s="4">
        <v>45289</v>
      </c>
      <c r="C403" s="3">
        <v>15</v>
      </c>
      <c r="D403" s="5" t="str">
        <f>"4617"</f>
        <v>4617</v>
      </c>
      <c r="E403" s="6" t="str">
        <f>"Комиссионные доходы за услуги по сейфовым операциям"</f>
        <v>Комиссионные доходы за услуги по сейфовым операциям</v>
      </c>
      <c r="F403" s="3">
        <v>0</v>
      </c>
      <c r="G403" s="3">
        <v>0</v>
      </c>
      <c r="H403" s="3">
        <v>0</v>
      </c>
      <c r="I403" s="7">
        <v>8023669.1900000004</v>
      </c>
    </row>
    <row r="404" spans="1:9" x14ac:dyDescent="0.25">
      <c r="A404" s="3">
        <v>397</v>
      </c>
      <c r="B404" s="4">
        <v>45289</v>
      </c>
      <c r="C404" s="3">
        <v>15</v>
      </c>
      <c r="D404" s="5" t="str">
        <f>"4703"</f>
        <v>4703</v>
      </c>
      <c r="E404" s="6" t="str">
        <f>"Доход от переоценки иностранной валюты"</f>
        <v>Доход от переоценки иностранной валюты</v>
      </c>
      <c r="F404" s="3">
        <v>0</v>
      </c>
      <c r="G404" s="3">
        <v>0</v>
      </c>
      <c r="H404" s="3">
        <v>0</v>
      </c>
      <c r="I404" s="7">
        <v>3569526238.29</v>
      </c>
    </row>
    <row r="405" spans="1:9" x14ac:dyDescent="0.25">
      <c r="A405" s="3">
        <v>398</v>
      </c>
      <c r="B405" s="4">
        <v>45289</v>
      </c>
      <c r="C405" s="3">
        <v>15</v>
      </c>
      <c r="D405" s="5" t="str">
        <f>"4733"</f>
        <v>4733</v>
      </c>
      <c r="E405" s="6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05" s="3">
        <v>0</v>
      </c>
      <c r="G405" s="3">
        <v>0</v>
      </c>
      <c r="H405" s="3">
        <v>0</v>
      </c>
      <c r="I405" s="7">
        <v>89869690.739999995</v>
      </c>
    </row>
    <row r="406" spans="1:9" x14ac:dyDescent="0.25">
      <c r="A406" s="3">
        <v>399</v>
      </c>
      <c r="B406" s="4">
        <v>45289</v>
      </c>
      <c r="C406" s="3">
        <v>15</v>
      </c>
      <c r="D406" s="5" t="str">
        <f>"4734"</f>
        <v>4734</v>
      </c>
      <c r="E406" s="6" t="str">
        <f>"Доходы от прочей переоценки"</f>
        <v>Доходы от прочей переоценки</v>
      </c>
      <c r="F406" s="3">
        <v>0</v>
      </c>
      <c r="G406" s="3">
        <v>0</v>
      </c>
      <c r="H406" s="3">
        <v>0</v>
      </c>
      <c r="I406" s="7">
        <v>250774609.94999999</v>
      </c>
    </row>
    <row r="407" spans="1:9" x14ac:dyDescent="0.25">
      <c r="A407" s="3">
        <v>400</v>
      </c>
      <c r="B407" s="4">
        <v>45289</v>
      </c>
      <c r="C407" s="3">
        <v>15</v>
      </c>
      <c r="D407" s="5" t="str">
        <f>"4852"</f>
        <v>4852</v>
      </c>
      <c r="E407" s="6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07" s="3">
        <v>0</v>
      </c>
      <c r="G407" s="3">
        <v>0</v>
      </c>
      <c r="H407" s="3">
        <v>0</v>
      </c>
      <c r="I407" s="7">
        <v>4546462.59</v>
      </c>
    </row>
    <row r="408" spans="1:9" x14ac:dyDescent="0.25">
      <c r="A408" s="3">
        <v>401</v>
      </c>
      <c r="B408" s="4">
        <v>45289</v>
      </c>
      <c r="C408" s="3">
        <v>15</v>
      </c>
      <c r="D408" s="5" t="str">
        <f>"4892"</f>
        <v>4892</v>
      </c>
      <c r="E408" s="6" t="str">
        <f>"Доходы по операциям форвард"</f>
        <v>Доходы по операциям форвард</v>
      </c>
      <c r="F408" s="3">
        <v>0</v>
      </c>
      <c r="G408" s="3">
        <v>0</v>
      </c>
      <c r="H408" s="3">
        <v>0</v>
      </c>
      <c r="I408" s="7">
        <v>2725652</v>
      </c>
    </row>
    <row r="409" spans="1:9" x14ac:dyDescent="0.25">
      <c r="A409" s="3">
        <v>402</v>
      </c>
      <c r="B409" s="4">
        <v>45289</v>
      </c>
      <c r="C409" s="3">
        <v>15</v>
      </c>
      <c r="D409" s="5" t="str">
        <f>"4895"</f>
        <v>4895</v>
      </c>
      <c r="E409" s="6" t="str">
        <f>"Доходы по операциям своп"</f>
        <v>Доходы по операциям своп</v>
      </c>
      <c r="F409" s="3">
        <v>0</v>
      </c>
      <c r="G409" s="3">
        <v>0</v>
      </c>
      <c r="H409" s="3">
        <v>0</v>
      </c>
      <c r="I409" s="7">
        <v>2672143955.75</v>
      </c>
    </row>
    <row r="410" spans="1:9" x14ac:dyDescent="0.25">
      <c r="A410" s="3">
        <v>403</v>
      </c>
      <c r="B410" s="4">
        <v>45289</v>
      </c>
      <c r="C410" s="3">
        <v>15</v>
      </c>
      <c r="D410" s="5" t="str">
        <f>"4921"</f>
        <v>4921</v>
      </c>
      <c r="E410" s="6" t="str">
        <f>"Прочие доходы от банковской деятельности"</f>
        <v>Прочие доходы от банковской деятельности</v>
      </c>
      <c r="F410" s="3">
        <v>0</v>
      </c>
      <c r="G410" s="3">
        <v>0</v>
      </c>
      <c r="H410" s="3">
        <v>0</v>
      </c>
      <c r="I410" s="7">
        <v>116520508.2</v>
      </c>
    </row>
    <row r="411" spans="1:9" x14ac:dyDescent="0.25">
      <c r="A411" s="3">
        <v>404</v>
      </c>
      <c r="B411" s="4">
        <v>45289</v>
      </c>
      <c r="C411" s="3">
        <v>15</v>
      </c>
      <c r="D411" s="5" t="str">
        <f>"4922"</f>
        <v>4922</v>
      </c>
      <c r="E411" s="6" t="str">
        <f>"Прочие доходы от неосновной деятельности"</f>
        <v>Прочие доходы от неосновной деятельности</v>
      </c>
      <c r="F411" s="3">
        <v>0</v>
      </c>
      <c r="G411" s="3">
        <v>0</v>
      </c>
      <c r="H411" s="3">
        <v>0</v>
      </c>
      <c r="I411" s="7">
        <v>1907298.42</v>
      </c>
    </row>
    <row r="412" spans="1:9" x14ac:dyDescent="0.25">
      <c r="A412" s="3">
        <v>405</v>
      </c>
      <c r="B412" s="4">
        <v>45289</v>
      </c>
      <c r="C412" s="3">
        <v>15</v>
      </c>
      <c r="D412" s="5" t="str">
        <f>"4951"</f>
        <v>4951</v>
      </c>
      <c r="E412" s="6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12" s="3">
        <v>0</v>
      </c>
      <c r="G412" s="3">
        <v>0</v>
      </c>
      <c r="H412" s="3">
        <v>0</v>
      </c>
      <c r="I412" s="7">
        <v>857808.83</v>
      </c>
    </row>
    <row r="413" spans="1:9" x14ac:dyDescent="0.25">
      <c r="A413" s="3">
        <v>406</v>
      </c>
      <c r="B413" s="4">
        <v>45289</v>
      </c>
      <c r="C413" s="3">
        <v>15</v>
      </c>
      <c r="D413" s="5" t="str">
        <f>"4952"</f>
        <v>4952</v>
      </c>
      <c r="E413" s="6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413" s="3">
        <v>0</v>
      </c>
      <c r="G413" s="3">
        <v>0</v>
      </c>
      <c r="H413" s="3">
        <v>0</v>
      </c>
      <c r="I413" s="7">
        <v>633640022.59000003</v>
      </c>
    </row>
    <row r="414" spans="1:9" x14ac:dyDescent="0.25">
      <c r="A414" s="3">
        <v>407</v>
      </c>
      <c r="B414" s="4">
        <v>45289</v>
      </c>
      <c r="C414" s="3">
        <v>15</v>
      </c>
      <c r="D414" s="5" t="str">
        <f>"4953"</f>
        <v>4953</v>
      </c>
      <c r="E414" s="6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14" s="3">
        <v>0</v>
      </c>
      <c r="G414" s="3">
        <v>0</v>
      </c>
      <c r="H414" s="3">
        <v>0</v>
      </c>
      <c r="I414" s="7">
        <v>1562455009.8900001</v>
      </c>
    </row>
    <row r="415" spans="1:9" x14ac:dyDescent="0.25">
      <c r="A415" s="3">
        <v>408</v>
      </c>
      <c r="B415" s="4">
        <v>45289</v>
      </c>
      <c r="C415" s="3">
        <v>15</v>
      </c>
      <c r="D415" s="5" t="str">
        <f>"4954"</f>
        <v>4954</v>
      </c>
      <c r="E415" s="6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15" s="3">
        <v>0</v>
      </c>
      <c r="G415" s="3">
        <v>0</v>
      </c>
      <c r="H415" s="3">
        <v>0</v>
      </c>
      <c r="I415" s="7">
        <v>4539498</v>
      </c>
    </row>
    <row r="416" spans="1:9" x14ac:dyDescent="0.25">
      <c r="A416" s="3">
        <v>409</v>
      </c>
      <c r="B416" s="4">
        <v>45289</v>
      </c>
      <c r="C416" s="3">
        <v>15</v>
      </c>
      <c r="D416" s="5" t="str">
        <f>"4955"</f>
        <v>4955</v>
      </c>
      <c r="E416" s="6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16" s="3">
        <v>0</v>
      </c>
      <c r="G416" s="3">
        <v>0</v>
      </c>
      <c r="H416" s="3">
        <v>0</v>
      </c>
      <c r="I416" s="7">
        <v>44065379875.040001</v>
      </c>
    </row>
    <row r="417" spans="1:9" x14ac:dyDescent="0.25">
      <c r="A417" s="3">
        <v>410</v>
      </c>
      <c r="B417" s="4">
        <v>45289</v>
      </c>
      <c r="C417" s="3">
        <v>15</v>
      </c>
      <c r="D417" s="5" t="str">
        <f>"4956"</f>
        <v>4956</v>
      </c>
      <c r="E417" s="6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17" s="3">
        <v>0</v>
      </c>
      <c r="G417" s="3">
        <v>0</v>
      </c>
      <c r="H417" s="3">
        <v>0</v>
      </c>
      <c r="I417" s="7">
        <v>4259763.82</v>
      </c>
    </row>
    <row r="418" spans="1:9" x14ac:dyDescent="0.25">
      <c r="A418" s="3">
        <v>411</v>
      </c>
      <c r="B418" s="4">
        <v>45289</v>
      </c>
      <c r="C418" s="3">
        <v>15</v>
      </c>
      <c r="D418" s="5" t="str">
        <f>"4958"</f>
        <v>4958</v>
      </c>
      <c r="E418" s="6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18" s="3">
        <v>0</v>
      </c>
      <c r="G418" s="3">
        <v>0</v>
      </c>
      <c r="H418" s="3">
        <v>0</v>
      </c>
      <c r="I418" s="7">
        <v>3334908269.6599998</v>
      </c>
    </row>
    <row r="419" spans="1:9" x14ac:dyDescent="0.25">
      <c r="A419" s="3">
        <v>412</v>
      </c>
      <c r="B419" s="4">
        <v>45289</v>
      </c>
      <c r="C419" s="3">
        <v>15</v>
      </c>
      <c r="D419" s="5" t="str">
        <f>"4959"</f>
        <v>4959</v>
      </c>
      <c r="E419" s="6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19" s="3">
        <v>0</v>
      </c>
      <c r="G419" s="3">
        <v>0</v>
      </c>
      <c r="H419" s="3">
        <v>0</v>
      </c>
      <c r="I419" s="7">
        <v>86250</v>
      </c>
    </row>
    <row r="420" spans="1:9" x14ac:dyDescent="0.25">
      <c r="A420" s="3">
        <v>413</v>
      </c>
      <c r="B420" s="4">
        <v>45289</v>
      </c>
      <c r="C420" s="3">
        <v>15</v>
      </c>
      <c r="D420" s="5" t="str">
        <f>"5023"</f>
        <v>5023</v>
      </c>
      <c r="E420" s="6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420" s="3">
        <v>0</v>
      </c>
      <c r="G420" s="3">
        <v>0</v>
      </c>
      <c r="H420" s="3">
        <v>0</v>
      </c>
      <c r="I420" s="7">
        <v>623334688</v>
      </c>
    </row>
    <row r="421" spans="1:9" x14ac:dyDescent="0.25">
      <c r="A421" s="3">
        <v>414</v>
      </c>
      <c r="B421" s="4">
        <v>45289</v>
      </c>
      <c r="C421" s="3">
        <v>15</v>
      </c>
      <c r="D421" s="5" t="str">
        <f>"5066"</f>
        <v>5066</v>
      </c>
      <c r="E421" s="6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21" s="3">
        <v>0</v>
      </c>
      <c r="G421" s="3">
        <v>0</v>
      </c>
      <c r="H421" s="3">
        <v>0</v>
      </c>
      <c r="I421" s="7">
        <v>6300000</v>
      </c>
    </row>
    <row r="422" spans="1:9" x14ac:dyDescent="0.25">
      <c r="A422" s="3">
        <v>415</v>
      </c>
      <c r="B422" s="4">
        <v>45289</v>
      </c>
      <c r="C422" s="3">
        <v>15</v>
      </c>
      <c r="D422" s="5" t="str">
        <f>"5126"</f>
        <v>5126</v>
      </c>
      <c r="E422" s="6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422" s="3">
        <v>0</v>
      </c>
      <c r="G422" s="3">
        <v>0</v>
      </c>
      <c r="H422" s="3">
        <v>0</v>
      </c>
      <c r="I422" s="7">
        <v>67483913.780000001</v>
      </c>
    </row>
    <row r="423" spans="1:9" x14ac:dyDescent="0.25">
      <c r="A423" s="3">
        <v>416</v>
      </c>
      <c r="B423" s="4">
        <v>45289</v>
      </c>
      <c r="C423" s="3">
        <v>15</v>
      </c>
      <c r="D423" s="5" t="str">
        <f>"5127"</f>
        <v>5127</v>
      </c>
      <c r="E423" s="6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423" s="3">
        <v>0</v>
      </c>
      <c r="G423" s="3">
        <v>0</v>
      </c>
      <c r="H423" s="3">
        <v>0</v>
      </c>
      <c r="I423" s="7">
        <v>40814798.340000004</v>
      </c>
    </row>
    <row r="424" spans="1:9" x14ac:dyDescent="0.25">
      <c r="A424" s="3">
        <v>417</v>
      </c>
      <c r="B424" s="4">
        <v>45289</v>
      </c>
      <c r="C424" s="3">
        <v>15</v>
      </c>
      <c r="D424" s="5" t="str">
        <f>"5143"</f>
        <v>5143</v>
      </c>
      <c r="E424" s="6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F424" s="3">
        <v>0</v>
      </c>
      <c r="G424" s="3">
        <v>0</v>
      </c>
      <c r="H424" s="3">
        <v>0</v>
      </c>
      <c r="I424" s="7">
        <v>99708333.319999993</v>
      </c>
    </row>
    <row r="425" spans="1:9" x14ac:dyDescent="0.25">
      <c r="A425" s="3">
        <v>418</v>
      </c>
      <c r="B425" s="4">
        <v>45289</v>
      </c>
      <c r="C425" s="3">
        <v>15</v>
      </c>
      <c r="D425" s="5" t="str">
        <f>"5203"</f>
        <v>5203</v>
      </c>
      <c r="E425" s="6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425" s="3">
        <v>0</v>
      </c>
      <c r="G425" s="3">
        <v>0</v>
      </c>
      <c r="H425" s="3">
        <v>0</v>
      </c>
      <c r="I425" s="7">
        <v>2319488568.1599998</v>
      </c>
    </row>
    <row r="426" spans="1:9" x14ac:dyDescent="0.25">
      <c r="A426" s="3">
        <v>419</v>
      </c>
      <c r="B426" s="4">
        <v>45289</v>
      </c>
      <c r="C426" s="3">
        <v>15</v>
      </c>
      <c r="D426" s="5" t="str">
        <f>"5215"</f>
        <v>5215</v>
      </c>
      <c r="E426" s="6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26" s="3">
        <v>0</v>
      </c>
      <c r="G426" s="3">
        <v>0</v>
      </c>
      <c r="H426" s="3">
        <v>0</v>
      </c>
      <c r="I426" s="7">
        <v>26405987102.470001</v>
      </c>
    </row>
    <row r="427" spans="1:9" x14ac:dyDescent="0.25">
      <c r="A427" s="3">
        <v>420</v>
      </c>
      <c r="B427" s="4">
        <v>45289</v>
      </c>
      <c r="C427" s="3">
        <v>15</v>
      </c>
      <c r="D427" s="5" t="str">
        <f>"5217"</f>
        <v>5217</v>
      </c>
      <c r="E427" s="6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27" s="3">
        <v>0</v>
      </c>
      <c r="G427" s="3">
        <v>0</v>
      </c>
      <c r="H427" s="3">
        <v>0</v>
      </c>
      <c r="I427" s="7">
        <v>814023270.62</v>
      </c>
    </row>
    <row r="428" spans="1:9" x14ac:dyDescent="0.25">
      <c r="A428" s="3">
        <v>421</v>
      </c>
      <c r="B428" s="4">
        <v>45289</v>
      </c>
      <c r="C428" s="3">
        <v>15</v>
      </c>
      <c r="D428" s="5" t="str">
        <f>"5218"</f>
        <v>5218</v>
      </c>
      <c r="E428" s="6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28" s="3">
        <v>0</v>
      </c>
      <c r="G428" s="3">
        <v>0</v>
      </c>
      <c r="H428" s="3">
        <v>0</v>
      </c>
      <c r="I428" s="7">
        <v>4067816648.4299998</v>
      </c>
    </row>
    <row r="429" spans="1:9" x14ac:dyDescent="0.25">
      <c r="A429" s="3">
        <v>422</v>
      </c>
      <c r="B429" s="4">
        <v>45289</v>
      </c>
      <c r="C429" s="3">
        <v>15</v>
      </c>
      <c r="D429" s="5" t="str">
        <f>"5219"</f>
        <v>5219</v>
      </c>
      <c r="E429" s="6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29" s="3">
        <v>0</v>
      </c>
      <c r="G429" s="3">
        <v>0</v>
      </c>
      <c r="H429" s="3">
        <v>0</v>
      </c>
      <c r="I429" s="7">
        <v>18271969.210000001</v>
      </c>
    </row>
    <row r="430" spans="1:9" x14ac:dyDescent="0.25">
      <c r="A430" s="3">
        <v>423</v>
      </c>
      <c r="B430" s="4">
        <v>45289</v>
      </c>
      <c r="C430" s="3">
        <v>15</v>
      </c>
      <c r="D430" s="5" t="str">
        <f>"5220"</f>
        <v>5220</v>
      </c>
      <c r="E430" s="6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30" s="3">
        <v>0</v>
      </c>
      <c r="G430" s="3">
        <v>0</v>
      </c>
      <c r="H430" s="3">
        <v>0</v>
      </c>
      <c r="I430" s="7">
        <v>70050435.090000004</v>
      </c>
    </row>
    <row r="431" spans="1:9" x14ac:dyDescent="0.25">
      <c r="A431" s="3">
        <v>424</v>
      </c>
      <c r="B431" s="4">
        <v>45289</v>
      </c>
      <c r="C431" s="3">
        <v>15</v>
      </c>
      <c r="D431" s="5" t="str">
        <f>"5223"</f>
        <v>5223</v>
      </c>
      <c r="E431" s="6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31" s="3">
        <v>0</v>
      </c>
      <c r="G431" s="3">
        <v>0</v>
      </c>
      <c r="H431" s="3">
        <v>0</v>
      </c>
      <c r="I431" s="7">
        <v>35511212.880000003</v>
      </c>
    </row>
    <row r="432" spans="1:9" x14ac:dyDescent="0.25">
      <c r="A432" s="3">
        <v>425</v>
      </c>
      <c r="B432" s="4">
        <v>45289</v>
      </c>
      <c r="C432" s="3">
        <v>15</v>
      </c>
      <c r="D432" s="5" t="str">
        <f>"5227"</f>
        <v>5227</v>
      </c>
      <c r="E432" s="6" t="str">
        <f>"Процентные расходы по обязательствам по аренде"</f>
        <v>Процентные расходы по обязательствам по аренде</v>
      </c>
      <c r="F432" s="3">
        <v>0</v>
      </c>
      <c r="G432" s="3">
        <v>0</v>
      </c>
      <c r="H432" s="3">
        <v>0</v>
      </c>
      <c r="I432" s="7">
        <v>98815658.280000001</v>
      </c>
    </row>
    <row r="433" spans="1:9" x14ac:dyDescent="0.25">
      <c r="A433" s="3">
        <v>426</v>
      </c>
      <c r="B433" s="4">
        <v>45289</v>
      </c>
      <c r="C433" s="3">
        <v>15</v>
      </c>
      <c r="D433" s="5" t="str">
        <f>"5240"</f>
        <v>5240</v>
      </c>
      <c r="E433" s="6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33" s="3">
        <v>0</v>
      </c>
      <c r="G433" s="3">
        <v>0</v>
      </c>
      <c r="H433" s="3">
        <v>0</v>
      </c>
      <c r="I433" s="7">
        <v>6702.81</v>
      </c>
    </row>
    <row r="434" spans="1:9" x14ac:dyDescent="0.25">
      <c r="A434" s="3">
        <v>427</v>
      </c>
      <c r="B434" s="4">
        <v>45289</v>
      </c>
      <c r="C434" s="3">
        <v>15</v>
      </c>
      <c r="D434" s="5" t="str">
        <f>"5241"</f>
        <v>5241</v>
      </c>
      <c r="E434" s="6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434" s="3">
        <v>0</v>
      </c>
      <c r="G434" s="3">
        <v>0</v>
      </c>
      <c r="H434" s="3">
        <v>0</v>
      </c>
      <c r="I434" s="7">
        <v>35602545.990000002</v>
      </c>
    </row>
    <row r="435" spans="1:9" x14ac:dyDescent="0.25">
      <c r="A435" s="3">
        <v>428</v>
      </c>
      <c r="B435" s="4">
        <v>45289</v>
      </c>
      <c r="C435" s="3">
        <v>15</v>
      </c>
      <c r="D435" s="5" t="str">
        <f>"5250"</f>
        <v>5250</v>
      </c>
      <c r="E435" s="6" t="s">
        <v>10</v>
      </c>
      <c r="F435" s="3">
        <v>0</v>
      </c>
      <c r="G435" s="3">
        <v>0</v>
      </c>
      <c r="H435" s="3">
        <v>0</v>
      </c>
      <c r="I435" s="7">
        <v>8769635887.9799995</v>
      </c>
    </row>
    <row r="436" spans="1:9" x14ac:dyDescent="0.25">
      <c r="A436" s="3">
        <v>429</v>
      </c>
      <c r="B436" s="4">
        <v>45289</v>
      </c>
      <c r="C436" s="3">
        <v>15</v>
      </c>
      <c r="D436" s="5" t="str">
        <f>"5306"</f>
        <v>5306</v>
      </c>
      <c r="E436" s="6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36" s="3">
        <v>0</v>
      </c>
      <c r="G436" s="3">
        <v>0</v>
      </c>
      <c r="H436" s="3">
        <v>0</v>
      </c>
      <c r="I436" s="7">
        <v>1105111020.73</v>
      </c>
    </row>
    <row r="437" spans="1:9" x14ac:dyDescent="0.25">
      <c r="A437" s="3">
        <v>430</v>
      </c>
      <c r="B437" s="4">
        <v>45289</v>
      </c>
      <c r="C437" s="3">
        <v>15</v>
      </c>
      <c r="D437" s="5" t="str">
        <f>"5308"</f>
        <v>5308</v>
      </c>
      <c r="E437" s="6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437" s="3">
        <v>0</v>
      </c>
      <c r="G437" s="3">
        <v>0</v>
      </c>
      <c r="H437" s="3">
        <v>0</v>
      </c>
      <c r="I437" s="7">
        <v>796778513.74000001</v>
      </c>
    </row>
    <row r="438" spans="1:9" x14ac:dyDescent="0.25">
      <c r="A438" s="3">
        <v>431</v>
      </c>
      <c r="B438" s="4">
        <v>45289</v>
      </c>
      <c r="C438" s="3">
        <v>15</v>
      </c>
      <c r="D438" s="5" t="str">
        <f>"5451"</f>
        <v>5451</v>
      </c>
      <c r="E438" s="6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38" s="3">
        <v>0</v>
      </c>
      <c r="G438" s="3">
        <v>0</v>
      </c>
      <c r="H438" s="3">
        <v>0</v>
      </c>
      <c r="I438" s="7">
        <v>789900.64</v>
      </c>
    </row>
    <row r="439" spans="1:9" x14ac:dyDescent="0.25">
      <c r="A439" s="3">
        <v>432</v>
      </c>
      <c r="B439" s="4">
        <v>45289</v>
      </c>
      <c r="C439" s="3">
        <v>15</v>
      </c>
      <c r="D439" s="5" t="str">
        <f>"5452"</f>
        <v>5452</v>
      </c>
      <c r="E439" s="6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439" s="3">
        <v>0</v>
      </c>
      <c r="G439" s="3">
        <v>0</v>
      </c>
      <c r="H439" s="3">
        <v>0</v>
      </c>
      <c r="I439" s="7">
        <v>1241360293.8900001</v>
      </c>
    </row>
    <row r="440" spans="1:9" x14ac:dyDescent="0.25">
      <c r="A440" s="3">
        <v>433</v>
      </c>
      <c r="B440" s="4">
        <v>45289</v>
      </c>
      <c r="C440" s="3">
        <v>15</v>
      </c>
      <c r="D440" s="5" t="str">
        <f>"5453"</f>
        <v>5453</v>
      </c>
      <c r="E440" s="6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40" s="3">
        <v>0</v>
      </c>
      <c r="G440" s="3">
        <v>0</v>
      </c>
      <c r="H440" s="3">
        <v>0</v>
      </c>
      <c r="I440" s="7">
        <v>1548875504.9200001</v>
      </c>
    </row>
    <row r="441" spans="1:9" x14ac:dyDescent="0.25">
      <c r="A441" s="3">
        <v>434</v>
      </c>
      <c r="B441" s="4">
        <v>45289</v>
      </c>
      <c r="C441" s="3">
        <v>15</v>
      </c>
      <c r="D441" s="5" t="str">
        <f>"5455"</f>
        <v>5455</v>
      </c>
      <c r="E441" s="6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41" s="3">
        <v>0</v>
      </c>
      <c r="G441" s="3">
        <v>0</v>
      </c>
      <c r="H441" s="3">
        <v>0</v>
      </c>
      <c r="I441" s="7">
        <v>48324856654.099998</v>
      </c>
    </row>
    <row r="442" spans="1:9" x14ac:dyDescent="0.25">
      <c r="A442" s="3">
        <v>435</v>
      </c>
      <c r="B442" s="4">
        <v>45289</v>
      </c>
      <c r="C442" s="3">
        <v>15</v>
      </c>
      <c r="D442" s="5" t="str">
        <f>"5456"</f>
        <v>5456</v>
      </c>
      <c r="E442" s="6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42" s="3">
        <v>0</v>
      </c>
      <c r="G442" s="3">
        <v>0</v>
      </c>
      <c r="H442" s="3">
        <v>0</v>
      </c>
      <c r="I442" s="7">
        <v>4320569.3600000003</v>
      </c>
    </row>
    <row r="443" spans="1:9" x14ac:dyDescent="0.25">
      <c r="A443" s="3">
        <v>436</v>
      </c>
      <c r="B443" s="4">
        <v>45289</v>
      </c>
      <c r="C443" s="3">
        <v>15</v>
      </c>
      <c r="D443" s="5" t="str">
        <f>"5459"</f>
        <v>5459</v>
      </c>
      <c r="E443" s="6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443" s="3">
        <v>0</v>
      </c>
      <c r="G443" s="3">
        <v>0</v>
      </c>
      <c r="H443" s="3">
        <v>0</v>
      </c>
      <c r="I443" s="7">
        <v>86250</v>
      </c>
    </row>
    <row r="444" spans="1:9" x14ac:dyDescent="0.25">
      <c r="A444" s="3">
        <v>437</v>
      </c>
      <c r="B444" s="4">
        <v>45289</v>
      </c>
      <c r="C444" s="3">
        <v>15</v>
      </c>
      <c r="D444" s="5" t="str">
        <f>"5464"</f>
        <v>5464</v>
      </c>
      <c r="E444" s="6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44" s="3">
        <v>0</v>
      </c>
      <c r="G444" s="3">
        <v>0</v>
      </c>
      <c r="H444" s="3">
        <v>0</v>
      </c>
      <c r="I444" s="7">
        <v>89738260.150000006</v>
      </c>
    </row>
    <row r="445" spans="1:9" x14ac:dyDescent="0.25">
      <c r="A445" s="3">
        <v>438</v>
      </c>
      <c r="B445" s="4">
        <v>45289</v>
      </c>
      <c r="C445" s="3">
        <v>15</v>
      </c>
      <c r="D445" s="5" t="str">
        <f>"5465"</f>
        <v>5465</v>
      </c>
      <c r="E445" s="6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45" s="3">
        <v>0</v>
      </c>
      <c r="G445" s="3">
        <v>0</v>
      </c>
      <c r="H445" s="3">
        <v>0</v>
      </c>
      <c r="I445" s="7">
        <v>3626882354.5599999</v>
      </c>
    </row>
    <row r="446" spans="1:9" x14ac:dyDescent="0.25">
      <c r="A446" s="3">
        <v>439</v>
      </c>
      <c r="B446" s="4">
        <v>45289</v>
      </c>
      <c r="C446" s="3">
        <v>15</v>
      </c>
      <c r="D446" s="5" t="str">
        <f>"5468"</f>
        <v>5468</v>
      </c>
      <c r="E446" s="6" t="str">
        <f>"Расходы на формирование резервов оценочных обязательств"</f>
        <v>Расходы на формирование резервов оценочных обязательств</v>
      </c>
      <c r="F446" s="3">
        <v>0</v>
      </c>
      <c r="G446" s="3">
        <v>0</v>
      </c>
      <c r="H446" s="3">
        <v>0</v>
      </c>
      <c r="I446" s="7">
        <v>2130739279</v>
      </c>
    </row>
    <row r="447" spans="1:9" x14ac:dyDescent="0.25">
      <c r="A447" s="3">
        <v>440</v>
      </c>
      <c r="B447" s="4">
        <v>45289</v>
      </c>
      <c r="C447" s="3">
        <v>15</v>
      </c>
      <c r="D447" s="5" t="str">
        <f>"5510"</f>
        <v>5510</v>
      </c>
      <c r="E447" s="6" t="str">
        <f>"Расходы по купле-продаже ценных бумаг"</f>
        <v>Расходы по купле-продаже ценных бумаг</v>
      </c>
      <c r="F447" s="3">
        <v>0</v>
      </c>
      <c r="G447" s="3">
        <v>0</v>
      </c>
      <c r="H447" s="3">
        <v>0</v>
      </c>
      <c r="I447" s="7">
        <v>50675496.700000003</v>
      </c>
    </row>
    <row r="448" spans="1:9" x14ac:dyDescent="0.25">
      <c r="A448" s="3">
        <v>441</v>
      </c>
      <c r="B448" s="4">
        <v>45289</v>
      </c>
      <c r="C448" s="3">
        <v>15</v>
      </c>
      <c r="D448" s="5" t="str">
        <f>"5530"</f>
        <v>5530</v>
      </c>
      <c r="E448" s="6" t="str">
        <f>"Расходы по купле-продаже иностранной валюты"</f>
        <v>Расходы по купле-продаже иностранной валюты</v>
      </c>
      <c r="F448" s="3">
        <v>0</v>
      </c>
      <c r="G448" s="3">
        <v>0</v>
      </c>
      <c r="H448" s="3">
        <v>0</v>
      </c>
      <c r="I448" s="7">
        <v>4961913706</v>
      </c>
    </row>
    <row r="449" spans="1:9" x14ac:dyDescent="0.25">
      <c r="A449" s="3">
        <v>442</v>
      </c>
      <c r="B449" s="4">
        <v>45289</v>
      </c>
      <c r="C449" s="3">
        <v>15</v>
      </c>
      <c r="D449" s="5" t="str">
        <f>"5593"</f>
        <v>5593</v>
      </c>
      <c r="E449" s="6" t="str">
        <f>"Расходы от переоценки операций своп"</f>
        <v>Расходы от переоценки операций своп</v>
      </c>
      <c r="F449" s="3">
        <v>0</v>
      </c>
      <c r="G449" s="3">
        <v>0</v>
      </c>
      <c r="H449" s="3">
        <v>0</v>
      </c>
      <c r="I449" s="7">
        <v>-1227618.71</v>
      </c>
    </row>
    <row r="450" spans="1:9" x14ac:dyDescent="0.25">
      <c r="A450" s="3">
        <v>443</v>
      </c>
      <c r="B450" s="4">
        <v>45289</v>
      </c>
      <c r="C450" s="3">
        <v>15</v>
      </c>
      <c r="D450" s="5" t="str">
        <f>"5601"</f>
        <v>5601</v>
      </c>
      <c r="E450" s="6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50" s="3">
        <v>0</v>
      </c>
      <c r="G450" s="3">
        <v>0</v>
      </c>
      <c r="H450" s="3">
        <v>0</v>
      </c>
      <c r="I450" s="7">
        <v>762728392.38999999</v>
      </c>
    </row>
    <row r="451" spans="1:9" x14ac:dyDescent="0.25">
      <c r="A451" s="3">
        <v>444</v>
      </c>
      <c r="B451" s="4">
        <v>45289</v>
      </c>
      <c r="C451" s="3">
        <v>15</v>
      </c>
      <c r="D451" s="5" t="str">
        <f>"5602"</f>
        <v>5602</v>
      </c>
      <c r="E451" s="6" t="str">
        <f>"Комиссионные расходы по полученным агентским услугам"</f>
        <v>Комиссионные расходы по полученным агентским услугам</v>
      </c>
      <c r="F451" s="3">
        <v>0</v>
      </c>
      <c r="G451" s="3">
        <v>0</v>
      </c>
      <c r="H451" s="3">
        <v>0</v>
      </c>
      <c r="I451" s="7">
        <v>150553.57999999999</v>
      </c>
    </row>
    <row r="452" spans="1:9" x14ac:dyDescent="0.25">
      <c r="A452" s="3">
        <v>445</v>
      </c>
      <c r="B452" s="4">
        <v>45289</v>
      </c>
      <c r="C452" s="3">
        <v>15</v>
      </c>
      <c r="D452" s="5" t="str">
        <f>"5607"</f>
        <v>5607</v>
      </c>
      <c r="E452" s="6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452" s="3">
        <v>0</v>
      </c>
      <c r="G452" s="3">
        <v>0</v>
      </c>
      <c r="H452" s="3">
        <v>0</v>
      </c>
      <c r="I452" s="7">
        <v>2356895787.9099998</v>
      </c>
    </row>
    <row r="453" spans="1:9" x14ac:dyDescent="0.25">
      <c r="A453" s="3">
        <v>446</v>
      </c>
      <c r="B453" s="4">
        <v>45289</v>
      </c>
      <c r="C453" s="3">
        <v>15</v>
      </c>
      <c r="D453" s="5" t="str">
        <f>"5608"</f>
        <v>5608</v>
      </c>
      <c r="E453" s="6" t="str">
        <f>"Прочие комиссионные расходы"</f>
        <v>Прочие комиссионные расходы</v>
      </c>
      <c r="F453" s="3">
        <v>0</v>
      </c>
      <c r="G453" s="3">
        <v>0</v>
      </c>
      <c r="H453" s="3">
        <v>0</v>
      </c>
      <c r="I453" s="7">
        <v>1187960140.73</v>
      </c>
    </row>
    <row r="454" spans="1:9" x14ac:dyDescent="0.25">
      <c r="A454" s="3">
        <v>447</v>
      </c>
      <c r="B454" s="4">
        <v>45289</v>
      </c>
      <c r="C454" s="3">
        <v>15</v>
      </c>
      <c r="D454" s="5" t="str">
        <f>"5609"</f>
        <v>5609</v>
      </c>
      <c r="E454" s="6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54" s="3">
        <v>0</v>
      </c>
      <c r="G454" s="3">
        <v>0</v>
      </c>
      <c r="H454" s="3">
        <v>0</v>
      </c>
      <c r="I454" s="7">
        <v>86611185.150000006</v>
      </c>
    </row>
    <row r="455" spans="1:9" x14ac:dyDescent="0.25">
      <c r="A455" s="3">
        <v>448</v>
      </c>
      <c r="B455" s="4">
        <v>45289</v>
      </c>
      <c r="C455" s="3">
        <v>15</v>
      </c>
      <c r="D455" s="5" t="str">
        <f>"5703"</f>
        <v>5703</v>
      </c>
      <c r="E455" s="6" t="str">
        <f>"Расходы от переоценки иностранной валюты"</f>
        <v>Расходы от переоценки иностранной валюты</v>
      </c>
      <c r="F455" s="3">
        <v>0</v>
      </c>
      <c r="G455" s="3">
        <v>0</v>
      </c>
      <c r="H455" s="3">
        <v>0</v>
      </c>
      <c r="I455" s="7">
        <v>2830854229.4299998</v>
      </c>
    </row>
    <row r="456" spans="1:9" x14ac:dyDescent="0.25">
      <c r="A456" s="3">
        <v>449</v>
      </c>
      <c r="B456" s="4">
        <v>45289</v>
      </c>
      <c r="C456" s="3">
        <v>15</v>
      </c>
      <c r="D456" s="5" t="str">
        <f>"5711"</f>
        <v>5711</v>
      </c>
      <c r="E456" s="6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456" s="3">
        <v>0</v>
      </c>
      <c r="G456" s="3">
        <v>0</v>
      </c>
      <c r="H456" s="3">
        <v>0</v>
      </c>
      <c r="I456" s="7">
        <v>358910055.29000002</v>
      </c>
    </row>
    <row r="457" spans="1:9" x14ac:dyDescent="0.25">
      <c r="A457" s="3">
        <v>450</v>
      </c>
      <c r="B457" s="4">
        <v>45289</v>
      </c>
      <c r="C457" s="3">
        <v>15</v>
      </c>
      <c r="D457" s="5" t="str">
        <f>"5721"</f>
        <v>5721</v>
      </c>
      <c r="E457" s="6" t="str">
        <f>"Расходы по оплате труда"</f>
        <v>Расходы по оплате труда</v>
      </c>
      <c r="F457" s="3">
        <v>0</v>
      </c>
      <c r="G457" s="3">
        <v>0</v>
      </c>
      <c r="H457" s="3">
        <v>0</v>
      </c>
      <c r="I457" s="7">
        <v>9042050692.9400005</v>
      </c>
    </row>
    <row r="458" spans="1:9" x14ac:dyDescent="0.25">
      <c r="A458" s="3">
        <v>451</v>
      </c>
      <c r="B458" s="4">
        <v>45289</v>
      </c>
      <c r="C458" s="3">
        <v>15</v>
      </c>
      <c r="D458" s="5" t="str">
        <f>"5722"</f>
        <v>5722</v>
      </c>
      <c r="E458" s="6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58" s="3">
        <v>0</v>
      </c>
      <c r="G458" s="3">
        <v>0</v>
      </c>
      <c r="H458" s="3">
        <v>0</v>
      </c>
      <c r="I458" s="7">
        <v>209896006</v>
      </c>
    </row>
    <row r="459" spans="1:9" x14ac:dyDescent="0.25">
      <c r="A459" s="3">
        <v>452</v>
      </c>
      <c r="B459" s="4">
        <v>45289</v>
      </c>
      <c r="C459" s="3">
        <v>15</v>
      </c>
      <c r="D459" s="5" t="str">
        <f>"5729"</f>
        <v>5729</v>
      </c>
      <c r="E459" s="6" t="str">
        <f>"Прочие выплаты"</f>
        <v>Прочие выплаты</v>
      </c>
      <c r="F459" s="3">
        <v>0</v>
      </c>
      <c r="G459" s="3">
        <v>0</v>
      </c>
      <c r="H459" s="3">
        <v>0</v>
      </c>
      <c r="I459" s="7">
        <v>152763943.36000001</v>
      </c>
    </row>
    <row r="460" spans="1:9" x14ac:dyDescent="0.25">
      <c r="A460" s="3">
        <v>453</v>
      </c>
      <c r="B460" s="4">
        <v>45289</v>
      </c>
      <c r="C460" s="3">
        <v>15</v>
      </c>
      <c r="D460" s="5" t="str">
        <f>"5733"</f>
        <v>5733</v>
      </c>
      <c r="E460" s="6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60" s="3">
        <v>0</v>
      </c>
      <c r="G460" s="3">
        <v>0</v>
      </c>
      <c r="H460" s="3">
        <v>0</v>
      </c>
      <c r="I460" s="7">
        <v>8265550.8200000003</v>
      </c>
    </row>
    <row r="461" spans="1:9" x14ac:dyDescent="0.25">
      <c r="A461" s="3">
        <v>454</v>
      </c>
      <c r="B461" s="4">
        <v>45289</v>
      </c>
      <c r="C461" s="3">
        <v>15</v>
      </c>
      <c r="D461" s="5" t="str">
        <f>"5741"</f>
        <v>5741</v>
      </c>
      <c r="E461" s="6" t="str">
        <f>"Транспортные расходы"</f>
        <v>Транспортные расходы</v>
      </c>
      <c r="F461" s="3">
        <v>0</v>
      </c>
      <c r="G461" s="3">
        <v>0</v>
      </c>
      <c r="H461" s="3">
        <v>0</v>
      </c>
      <c r="I461" s="7">
        <v>34628037.009999998</v>
      </c>
    </row>
    <row r="462" spans="1:9" x14ac:dyDescent="0.25">
      <c r="A462" s="3">
        <v>455</v>
      </c>
      <c r="B462" s="4">
        <v>45289</v>
      </c>
      <c r="C462" s="3">
        <v>15</v>
      </c>
      <c r="D462" s="5" t="str">
        <f>"5742"</f>
        <v>5742</v>
      </c>
      <c r="E462" s="6" t="str">
        <f>"Административные расходы"</f>
        <v>Административные расходы</v>
      </c>
      <c r="F462" s="3">
        <v>0</v>
      </c>
      <c r="G462" s="3">
        <v>0</v>
      </c>
      <c r="H462" s="3">
        <v>0</v>
      </c>
      <c r="I462" s="7">
        <v>1745927512.5</v>
      </c>
    </row>
    <row r="463" spans="1:9" x14ac:dyDescent="0.25">
      <c r="A463" s="3">
        <v>456</v>
      </c>
      <c r="B463" s="4">
        <v>45289</v>
      </c>
      <c r="C463" s="3">
        <v>15</v>
      </c>
      <c r="D463" s="5" t="str">
        <f>"5743"</f>
        <v>5743</v>
      </c>
      <c r="E463" s="6" t="str">
        <f>"Расходы на инкассацию"</f>
        <v>Расходы на инкассацию</v>
      </c>
      <c r="F463" s="3">
        <v>0</v>
      </c>
      <c r="G463" s="3">
        <v>0</v>
      </c>
      <c r="H463" s="3">
        <v>0</v>
      </c>
      <c r="I463" s="7">
        <v>5150000</v>
      </c>
    </row>
    <row r="464" spans="1:9" x14ac:dyDescent="0.25">
      <c r="A464" s="3">
        <v>457</v>
      </c>
      <c r="B464" s="4">
        <v>45289</v>
      </c>
      <c r="C464" s="3">
        <v>15</v>
      </c>
      <c r="D464" s="5" t="str">
        <f>"5744"</f>
        <v>5744</v>
      </c>
      <c r="E464" s="6" t="str">
        <f>"Расходы на ремонт"</f>
        <v>Расходы на ремонт</v>
      </c>
      <c r="F464" s="3">
        <v>0</v>
      </c>
      <c r="G464" s="3">
        <v>0</v>
      </c>
      <c r="H464" s="3">
        <v>0</v>
      </c>
      <c r="I464" s="7">
        <v>109548145.97</v>
      </c>
    </row>
    <row r="465" spans="1:9" x14ac:dyDescent="0.25">
      <c r="A465" s="3">
        <v>458</v>
      </c>
      <c r="B465" s="4">
        <v>45289</v>
      </c>
      <c r="C465" s="3">
        <v>15</v>
      </c>
      <c r="D465" s="5" t="str">
        <f>"5745"</f>
        <v>5745</v>
      </c>
      <c r="E465" s="6" t="str">
        <f>"Расходы на рекламу"</f>
        <v>Расходы на рекламу</v>
      </c>
      <c r="F465" s="3">
        <v>0</v>
      </c>
      <c r="G465" s="3">
        <v>0</v>
      </c>
      <c r="H465" s="3">
        <v>0</v>
      </c>
      <c r="I465" s="7">
        <v>342924180.44</v>
      </c>
    </row>
    <row r="466" spans="1:9" x14ac:dyDescent="0.25">
      <c r="A466" s="3">
        <v>459</v>
      </c>
      <c r="B466" s="4">
        <v>45289</v>
      </c>
      <c r="C466" s="3">
        <v>15</v>
      </c>
      <c r="D466" s="5" t="str">
        <f>"5746"</f>
        <v>5746</v>
      </c>
      <c r="E466" s="6" t="str">
        <f>"Расходы на охрану и сигнализацию"</f>
        <v>Расходы на охрану и сигнализацию</v>
      </c>
      <c r="F466" s="3">
        <v>0</v>
      </c>
      <c r="G466" s="3">
        <v>0</v>
      </c>
      <c r="H466" s="3">
        <v>0</v>
      </c>
      <c r="I466" s="7">
        <v>140031633.93000001</v>
      </c>
    </row>
    <row r="467" spans="1:9" x14ac:dyDescent="0.25">
      <c r="A467" s="3">
        <v>460</v>
      </c>
      <c r="B467" s="4">
        <v>45289</v>
      </c>
      <c r="C467" s="3">
        <v>15</v>
      </c>
      <c r="D467" s="5" t="str">
        <f>"5747"</f>
        <v>5747</v>
      </c>
      <c r="E467" s="6" t="str">
        <f>"Представительские расходы"</f>
        <v>Представительские расходы</v>
      </c>
      <c r="F467" s="3">
        <v>0</v>
      </c>
      <c r="G467" s="3">
        <v>0</v>
      </c>
      <c r="H467" s="3">
        <v>0</v>
      </c>
      <c r="I467" s="7">
        <v>12106599.039999999</v>
      </c>
    </row>
    <row r="468" spans="1:9" x14ac:dyDescent="0.25">
      <c r="A468" s="3">
        <v>461</v>
      </c>
      <c r="B468" s="4">
        <v>45289</v>
      </c>
      <c r="C468" s="3">
        <v>15</v>
      </c>
      <c r="D468" s="5" t="str">
        <f>"5749"</f>
        <v>5749</v>
      </c>
      <c r="E468" s="6" t="str">
        <f>"Расходы на служебные командировки"</f>
        <v>Расходы на служебные командировки</v>
      </c>
      <c r="F468" s="3">
        <v>0</v>
      </c>
      <c r="G468" s="3">
        <v>0</v>
      </c>
      <c r="H468" s="3">
        <v>0</v>
      </c>
      <c r="I468" s="7">
        <v>94121227.189999998</v>
      </c>
    </row>
    <row r="469" spans="1:9" x14ac:dyDescent="0.25">
      <c r="A469" s="3">
        <v>462</v>
      </c>
      <c r="B469" s="4">
        <v>45289</v>
      </c>
      <c r="C469" s="3">
        <v>15</v>
      </c>
      <c r="D469" s="5" t="str">
        <f>"5750"</f>
        <v>5750</v>
      </c>
      <c r="E469" s="6" t="str">
        <f>"Расходы по аудиту и консультационным услугам"</f>
        <v>Расходы по аудиту и консультационным услугам</v>
      </c>
      <c r="F469" s="3">
        <v>0</v>
      </c>
      <c r="G469" s="3">
        <v>0</v>
      </c>
      <c r="H469" s="3">
        <v>0</v>
      </c>
      <c r="I469" s="7">
        <v>98557560.650000006</v>
      </c>
    </row>
    <row r="470" spans="1:9" x14ac:dyDescent="0.25">
      <c r="A470" s="3">
        <v>463</v>
      </c>
      <c r="B470" s="4">
        <v>45289</v>
      </c>
      <c r="C470" s="3">
        <v>15</v>
      </c>
      <c r="D470" s="5" t="str">
        <f>"5752"</f>
        <v>5752</v>
      </c>
      <c r="E470" s="6" t="str">
        <f>"Расходы по страхованию"</f>
        <v>Расходы по страхованию</v>
      </c>
      <c r="F470" s="3">
        <v>0</v>
      </c>
      <c r="G470" s="3">
        <v>0</v>
      </c>
      <c r="H470" s="3">
        <v>0</v>
      </c>
      <c r="I470" s="7">
        <v>38057065.57</v>
      </c>
    </row>
    <row r="471" spans="1:9" x14ac:dyDescent="0.25">
      <c r="A471" s="3">
        <v>464</v>
      </c>
      <c r="B471" s="4">
        <v>45289</v>
      </c>
      <c r="C471" s="3">
        <v>15</v>
      </c>
      <c r="D471" s="5" t="str">
        <f>"5753"</f>
        <v>5753</v>
      </c>
      <c r="E471" s="6" t="str">
        <f>"Расходы по услугам связи"</f>
        <v>Расходы по услугам связи</v>
      </c>
      <c r="F471" s="3">
        <v>0</v>
      </c>
      <c r="G471" s="3">
        <v>0</v>
      </c>
      <c r="H471" s="3">
        <v>0</v>
      </c>
      <c r="I471" s="7">
        <v>194190112.96000001</v>
      </c>
    </row>
    <row r="472" spans="1:9" x14ac:dyDescent="0.25">
      <c r="A472" s="3">
        <v>465</v>
      </c>
      <c r="B472" s="4">
        <v>45289</v>
      </c>
      <c r="C472" s="3">
        <v>15</v>
      </c>
      <c r="D472" s="5" t="str">
        <f>"5754"</f>
        <v>5754</v>
      </c>
      <c r="E472" s="6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72" s="3">
        <v>0</v>
      </c>
      <c r="G472" s="3">
        <v>0</v>
      </c>
      <c r="H472" s="3">
        <v>0</v>
      </c>
      <c r="I472" s="7">
        <v>583034307.10000002</v>
      </c>
    </row>
    <row r="473" spans="1:9" x14ac:dyDescent="0.25">
      <c r="A473" s="3">
        <v>466</v>
      </c>
      <c r="B473" s="4">
        <v>45289</v>
      </c>
      <c r="C473" s="3">
        <v>15</v>
      </c>
      <c r="D473" s="5" t="str">
        <f>"5761"</f>
        <v>5761</v>
      </c>
      <c r="E473" s="6" t="str">
        <f>"Налог на добавленную стоимость"</f>
        <v>Налог на добавленную стоимость</v>
      </c>
      <c r="F473" s="3">
        <v>0</v>
      </c>
      <c r="G473" s="3">
        <v>0</v>
      </c>
      <c r="H473" s="3">
        <v>0</v>
      </c>
      <c r="I473" s="7">
        <v>413391276.33999997</v>
      </c>
    </row>
    <row r="474" spans="1:9" x14ac:dyDescent="0.25">
      <c r="A474" s="3">
        <v>467</v>
      </c>
      <c r="B474" s="4">
        <v>45289</v>
      </c>
      <c r="C474" s="3">
        <v>15</v>
      </c>
      <c r="D474" s="5" t="str">
        <f>"5763"</f>
        <v>5763</v>
      </c>
      <c r="E474" s="6" t="str">
        <f>"Социальный налог"</f>
        <v>Социальный налог</v>
      </c>
      <c r="F474" s="3">
        <v>0</v>
      </c>
      <c r="G474" s="3">
        <v>0</v>
      </c>
      <c r="H474" s="3">
        <v>0</v>
      </c>
      <c r="I474" s="7">
        <v>763679757.92999995</v>
      </c>
    </row>
    <row r="475" spans="1:9" x14ac:dyDescent="0.25">
      <c r="A475" s="3">
        <v>468</v>
      </c>
      <c r="B475" s="4">
        <v>45289</v>
      </c>
      <c r="C475" s="3">
        <v>15</v>
      </c>
      <c r="D475" s="5" t="str">
        <f>"5764"</f>
        <v>5764</v>
      </c>
      <c r="E475" s="6" t="str">
        <f>"Земельный налог"</f>
        <v>Земельный налог</v>
      </c>
      <c r="F475" s="3">
        <v>0</v>
      </c>
      <c r="G475" s="3">
        <v>0</v>
      </c>
      <c r="H475" s="3">
        <v>0</v>
      </c>
      <c r="I475" s="7">
        <v>84722</v>
      </c>
    </row>
    <row r="476" spans="1:9" x14ac:dyDescent="0.25">
      <c r="A476" s="3">
        <v>469</v>
      </c>
      <c r="B476" s="4">
        <v>45289</v>
      </c>
      <c r="C476" s="3">
        <v>15</v>
      </c>
      <c r="D476" s="5" t="str">
        <f>"5765"</f>
        <v>5765</v>
      </c>
      <c r="E476" s="6" t="str">
        <f>"Налог на имущество юридических лиц"</f>
        <v>Налог на имущество юридических лиц</v>
      </c>
      <c r="F476" s="3">
        <v>0</v>
      </c>
      <c r="G476" s="3">
        <v>0</v>
      </c>
      <c r="H476" s="3">
        <v>0</v>
      </c>
      <c r="I476" s="7">
        <v>75752120</v>
      </c>
    </row>
    <row r="477" spans="1:9" x14ac:dyDescent="0.25">
      <c r="A477" s="3">
        <v>470</v>
      </c>
      <c r="B477" s="4">
        <v>45289</v>
      </c>
      <c r="C477" s="3">
        <v>15</v>
      </c>
      <c r="D477" s="5" t="str">
        <f>"5766"</f>
        <v>5766</v>
      </c>
      <c r="E477" s="6" t="str">
        <f>"Налог на транспортные средства"</f>
        <v>Налог на транспортные средства</v>
      </c>
      <c r="F477" s="3">
        <v>0</v>
      </c>
      <c r="G477" s="3">
        <v>0</v>
      </c>
      <c r="H477" s="3">
        <v>0</v>
      </c>
      <c r="I477" s="7">
        <v>2159528</v>
      </c>
    </row>
    <row r="478" spans="1:9" x14ac:dyDescent="0.25">
      <c r="A478" s="3">
        <v>471</v>
      </c>
      <c r="B478" s="4">
        <v>45289</v>
      </c>
      <c r="C478" s="3">
        <v>15</v>
      </c>
      <c r="D478" s="5" t="str">
        <f>"5768"</f>
        <v>5768</v>
      </c>
      <c r="E478" s="6" t="str">
        <f>"Прочие налоги и обязательные платежи в бюджет"</f>
        <v>Прочие налоги и обязательные платежи в бюджет</v>
      </c>
      <c r="F478" s="3">
        <v>0</v>
      </c>
      <c r="G478" s="3">
        <v>0</v>
      </c>
      <c r="H478" s="3">
        <v>0</v>
      </c>
      <c r="I478" s="7">
        <v>150800792.18000001</v>
      </c>
    </row>
    <row r="479" spans="1:9" x14ac:dyDescent="0.25">
      <c r="A479" s="3">
        <v>472</v>
      </c>
      <c r="B479" s="4">
        <v>45289</v>
      </c>
      <c r="C479" s="3">
        <v>15</v>
      </c>
      <c r="D479" s="5" t="str">
        <f>"5781"</f>
        <v>5781</v>
      </c>
      <c r="E479" s="6" t="str">
        <f>"Расходы по амортизации зданий и сооружений"</f>
        <v>Расходы по амортизации зданий и сооружений</v>
      </c>
      <c r="F479" s="3">
        <v>0</v>
      </c>
      <c r="G479" s="3">
        <v>0</v>
      </c>
      <c r="H479" s="3">
        <v>0</v>
      </c>
      <c r="I479" s="7">
        <v>58400226.280000001</v>
      </c>
    </row>
    <row r="480" spans="1:9" x14ac:dyDescent="0.25">
      <c r="A480" s="3">
        <v>473</v>
      </c>
      <c r="B480" s="4">
        <v>45289</v>
      </c>
      <c r="C480" s="3">
        <v>15</v>
      </c>
      <c r="D480" s="5" t="str">
        <f>"5782"</f>
        <v>5782</v>
      </c>
      <c r="E480" s="6" t="str">
        <f>"Расходы по амортизации компьютерного оборудования"</f>
        <v>Расходы по амортизации компьютерного оборудования</v>
      </c>
      <c r="F480" s="3">
        <v>0</v>
      </c>
      <c r="G480" s="3">
        <v>0</v>
      </c>
      <c r="H480" s="3">
        <v>0</v>
      </c>
      <c r="I480" s="7">
        <v>370401953.01999998</v>
      </c>
    </row>
    <row r="481" spans="1:9" x14ac:dyDescent="0.25">
      <c r="A481" s="3">
        <v>474</v>
      </c>
      <c r="B481" s="4">
        <v>45289</v>
      </c>
      <c r="C481" s="3">
        <v>15</v>
      </c>
      <c r="D481" s="5" t="str">
        <f>"5783"</f>
        <v>5783</v>
      </c>
      <c r="E481" s="6" t="str">
        <f>"Расходы по амортизации прочих основных средств"</f>
        <v>Расходы по амортизации прочих основных средств</v>
      </c>
      <c r="F481" s="3">
        <v>0</v>
      </c>
      <c r="G481" s="3">
        <v>0</v>
      </c>
      <c r="H481" s="3">
        <v>0</v>
      </c>
      <c r="I481" s="7">
        <v>182853182.86000001</v>
      </c>
    </row>
    <row r="482" spans="1:9" x14ac:dyDescent="0.25">
      <c r="A482" s="3">
        <v>475</v>
      </c>
      <c r="B482" s="4">
        <v>45289</v>
      </c>
      <c r="C482" s="3">
        <v>15</v>
      </c>
      <c r="D482" s="5" t="str">
        <f>"5784"</f>
        <v>5784</v>
      </c>
      <c r="E482" s="6" t="str">
        <f>"Расходы по амортизации активов в форме права пользования"</f>
        <v>Расходы по амортизации активов в форме права пользования</v>
      </c>
      <c r="F482" s="3">
        <v>0</v>
      </c>
      <c r="G482" s="3">
        <v>0</v>
      </c>
      <c r="H482" s="3">
        <v>0</v>
      </c>
      <c r="I482" s="7">
        <v>274627934.01999998</v>
      </c>
    </row>
    <row r="483" spans="1:9" x14ac:dyDescent="0.25">
      <c r="A483" s="3">
        <v>476</v>
      </c>
      <c r="B483" s="4">
        <v>45289</v>
      </c>
      <c r="C483" s="3">
        <v>15</v>
      </c>
      <c r="D483" s="5" t="str">
        <f>"5786"</f>
        <v>5786</v>
      </c>
      <c r="E483" s="6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483" s="3">
        <v>0</v>
      </c>
      <c r="G483" s="3">
        <v>0</v>
      </c>
      <c r="H483" s="3">
        <v>0</v>
      </c>
      <c r="I483" s="7">
        <v>58589590.880000003</v>
      </c>
    </row>
    <row r="484" spans="1:9" x14ac:dyDescent="0.25">
      <c r="A484" s="3">
        <v>477</v>
      </c>
      <c r="B484" s="4">
        <v>45289</v>
      </c>
      <c r="C484" s="3">
        <v>15</v>
      </c>
      <c r="D484" s="5" t="str">
        <f>"5787"</f>
        <v>5787</v>
      </c>
      <c r="E484" s="6" t="str">
        <f>"Расходы по амортизации транспортных средств"</f>
        <v>Расходы по амортизации транспортных средств</v>
      </c>
      <c r="F484" s="3">
        <v>0</v>
      </c>
      <c r="G484" s="3">
        <v>0</v>
      </c>
      <c r="H484" s="3">
        <v>0</v>
      </c>
      <c r="I484" s="7">
        <v>32087134.25</v>
      </c>
    </row>
    <row r="485" spans="1:9" x14ac:dyDescent="0.25">
      <c r="A485" s="3">
        <v>478</v>
      </c>
      <c r="B485" s="4">
        <v>45289</v>
      </c>
      <c r="C485" s="3">
        <v>15</v>
      </c>
      <c r="D485" s="5" t="str">
        <f>"5788"</f>
        <v>5788</v>
      </c>
      <c r="E485" s="6" t="str">
        <f>"Расходы по амортизации нематериальных активов"</f>
        <v>Расходы по амортизации нематериальных активов</v>
      </c>
      <c r="F485" s="3">
        <v>0</v>
      </c>
      <c r="G485" s="3">
        <v>0</v>
      </c>
      <c r="H485" s="3">
        <v>0</v>
      </c>
      <c r="I485" s="7">
        <v>513139796.81</v>
      </c>
    </row>
    <row r="486" spans="1:9" x14ac:dyDescent="0.25">
      <c r="A486" s="3">
        <v>479</v>
      </c>
      <c r="B486" s="4">
        <v>45289</v>
      </c>
      <c r="C486" s="3">
        <v>15</v>
      </c>
      <c r="D486" s="5" t="str">
        <f>"5895"</f>
        <v>5895</v>
      </c>
      <c r="E486" s="6" t="str">
        <f>"Расходы по операциям своп"</f>
        <v>Расходы по операциям своп</v>
      </c>
      <c r="F486" s="3">
        <v>0</v>
      </c>
      <c r="G486" s="3">
        <v>0</v>
      </c>
      <c r="H486" s="3">
        <v>0</v>
      </c>
      <c r="I486" s="7">
        <v>3411061665.02</v>
      </c>
    </row>
    <row r="487" spans="1:9" x14ac:dyDescent="0.25">
      <c r="A487" s="3">
        <v>480</v>
      </c>
      <c r="B487" s="4">
        <v>45289</v>
      </c>
      <c r="C487" s="3">
        <v>15</v>
      </c>
      <c r="D487" s="5" t="str">
        <f>"5921"</f>
        <v>5921</v>
      </c>
      <c r="E487" s="6" t="str">
        <f>"Прочие расходы от банковской деятельности"</f>
        <v>Прочие расходы от банковской деятельности</v>
      </c>
      <c r="F487" s="3">
        <v>0</v>
      </c>
      <c r="G487" s="3">
        <v>0</v>
      </c>
      <c r="H487" s="3">
        <v>0</v>
      </c>
      <c r="I487" s="7">
        <v>652083282.5</v>
      </c>
    </row>
    <row r="488" spans="1:9" x14ac:dyDescent="0.25">
      <c r="A488" s="3">
        <v>481</v>
      </c>
      <c r="B488" s="4">
        <v>45289</v>
      </c>
      <c r="C488" s="3">
        <v>15</v>
      </c>
      <c r="D488" s="5" t="str">
        <f>"5922"</f>
        <v>5922</v>
      </c>
      <c r="E488" s="6" t="str">
        <f>"Прочие расходы от неосновной деятельности"</f>
        <v>Прочие расходы от неосновной деятельности</v>
      </c>
      <c r="F488" s="3">
        <v>0</v>
      </c>
      <c r="G488" s="3">
        <v>0</v>
      </c>
      <c r="H488" s="3">
        <v>0</v>
      </c>
      <c r="I488" s="7">
        <v>110486289.19</v>
      </c>
    </row>
    <row r="489" spans="1:9" x14ac:dyDescent="0.25">
      <c r="A489" s="3">
        <v>482</v>
      </c>
      <c r="B489" s="4">
        <v>45289</v>
      </c>
      <c r="C489" s="3">
        <v>15</v>
      </c>
      <c r="D489" s="5" t="str">
        <f>"5923"</f>
        <v>5923</v>
      </c>
      <c r="E489" s="6" t="str">
        <f>"Расходы по аренде"</f>
        <v>Расходы по аренде</v>
      </c>
      <c r="F489" s="3">
        <v>0</v>
      </c>
      <c r="G489" s="3">
        <v>0</v>
      </c>
      <c r="H489" s="3">
        <v>0</v>
      </c>
      <c r="I489" s="7">
        <v>81593527.569999993</v>
      </c>
    </row>
    <row r="490" spans="1:9" x14ac:dyDescent="0.25">
      <c r="A490" s="3">
        <v>483</v>
      </c>
      <c r="B490" s="4">
        <v>45289</v>
      </c>
      <c r="C490" s="3">
        <v>15</v>
      </c>
      <c r="D490" s="5" t="str">
        <f>"5999"</f>
        <v>5999</v>
      </c>
      <c r="E490" s="6" t="str">
        <f>"Корпоративный подоходный налог"</f>
        <v>Корпоративный подоходный налог</v>
      </c>
      <c r="F490" s="3">
        <v>0</v>
      </c>
      <c r="G490" s="3">
        <v>0</v>
      </c>
      <c r="H490" s="3">
        <v>0</v>
      </c>
      <c r="I490" s="7">
        <v>1924247607</v>
      </c>
    </row>
    <row r="491" spans="1:9" x14ac:dyDescent="0.25">
      <c r="A491" s="3">
        <v>484</v>
      </c>
      <c r="B491" s="4">
        <v>45289</v>
      </c>
      <c r="C491" s="3">
        <v>15</v>
      </c>
      <c r="D491" s="5" t="str">
        <f>"6005"</f>
        <v>6005</v>
      </c>
      <c r="E491" s="6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491" s="3">
        <v>0</v>
      </c>
      <c r="G491" s="3">
        <v>0</v>
      </c>
      <c r="H491" s="3">
        <v>0</v>
      </c>
      <c r="I491" s="7">
        <v>4694718953.4700003</v>
      </c>
    </row>
    <row r="492" spans="1:9" x14ac:dyDescent="0.25">
      <c r="A492" s="3">
        <v>485</v>
      </c>
      <c r="B492" s="4">
        <v>45289</v>
      </c>
      <c r="C492" s="3">
        <v>15</v>
      </c>
      <c r="D492" s="5" t="str">
        <f>"6020"</f>
        <v>6020</v>
      </c>
      <c r="E492" s="6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492" s="3">
        <v>0</v>
      </c>
      <c r="G492" s="3">
        <v>0</v>
      </c>
      <c r="H492" s="3">
        <v>0</v>
      </c>
      <c r="I492" s="7">
        <v>8430023144.0799999</v>
      </c>
    </row>
    <row r="493" spans="1:9" x14ac:dyDescent="0.25">
      <c r="A493" s="3">
        <v>486</v>
      </c>
      <c r="B493" s="4">
        <v>45289</v>
      </c>
      <c r="C493" s="3">
        <v>15</v>
      </c>
      <c r="D493" s="5" t="str">
        <f>"6055"</f>
        <v>6055</v>
      </c>
      <c r="E493" s="6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493" s="3">
        <v>0</v>
      </c>
      <c r="G493" s="3">
        <v>0</v>
      </c>
      <c r="H493" s="3">
        <v>0</v>
      </c>
      <c r="I493" s="7">
        <v>31795425662.639999</v>
      </c>
    </row>
    <row r="494" spans="1:9" x14ac:dyDescent="0.25">
      <c r="A494" s="3">
        <v>487</v>
      </c>
      <c r="B494" s="4">
        <v>45289</v>
      </c>
      <c r="C494" s="3">
        <v>15</v>
      </c>
      <c r="D494" s="5" t="str">
        <f>"6075"</f>
        <v>6075</v>
      </c>
      <c r="E494" s="6" t="str">
        <f>"Возможные требования по принятым гарантиям"</f>
        <v>Возможные требования по принятым гарантиям</v>
      </c>
      <c r="F494" s="3">
        <v>0</v>
      </c>
      <c r="G494" s="3">
        <v>0</v>
      </c>
      <c r="H494" s="3">
        <v>0</v>
      </c>
      <c r="I494" s="7">
        <v>659696815299.04004</v>
      </c>
    </row>
    <row r="495" spans="1:9" x14ac:dyDescent="0.25">
      <c r="A495" s="3">
        <v>488</v>
      </c>
      <c r="B495" s="4">
        <v>45289</v>
      </c>
      <c r="C495" s="3">
        <v>15</v>
      </c>
      <c r="D495" s="5" t="str">
        <f>"6125"</f>
        <v>6125</v>
      </c>
      <c r="E495" s="6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495" s="3">
        <v>0</v>
      </c>
      <c r="G495" s="3">
        <v>0</v>
      </c>
      <c r="H495" s="3">
        <v>0</v>
      </c>
      <c r="I495" s="7">
        <v>7400715733.75</v>
      </c>
    </row>
    <row r="496" spans="1:9" x14ac:dyDescent="0.25">
      <c r="A496" s="3">
        <v>489</v>
      </c>
      <c r="B496" s="4">
        <v>45289</v>
      </c>
      <c r="C496" s="3">
        <v>15</v>
      </c>
      <c r="D496" s="5" t="str">
        <f>"6126"</f>
        <v>6126</v>
      </c>
      <c r="E496" s="6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496" s="3">
        <v>0</v>
      </c>
      <c r="G496" s="3">
        <v>0</v>
      </c>
      <c r="H496" s="3">
        <v>0</v>
      </c>
      <c r="I496" s="7">
        <v>122658446179.39</v>
      </c>
    </row>
    <row r="497" spans="1:9" x14ac:dyDescent="0.25">
      <c r="A497" s="3">
        <v>490</v>
      </c>
      <c r="B497" s="4">
        <v>45289</v>
      </c>
      <c r="C497" s="3">
        <v>15</v>
      </c>
      <c r="D497" s="5" t="str">
        <f>"6130"</f>
        <v>6130</v>
      </c>
      <c r="E497" s="6" t="str">
        <f>"Неподвижные вклады клиентов"</f>
        <v>Неподвижные вклады клиентов</v>
      </c>
      <c r="F497" s="3">
        <v>0</v>
      </c>
      <c r="G497" s="3">
        <v>0</v>
      </c>
      <c r="H497" s="3">
        <v>0</v>
      </c>
      <c r="I497" s="7">
        <v>8069874.5</v>
      </c>
    </row>
    <row r="498" spans="1:9" x14ac:dyDescent="0.25">
      <c r="A498" s="3">
        <v>491</v>
      </c>
      <c r="B498" s="4">
        <v>45289</v>
      </c>
      <c r="C498" s="3">
        <v>15</v>
      </c>
      <c r="D498" s="5" t="str">
        <f>"6405"</f>
        <v>6405</v>
      </c>
      <c r="E498" s="6" t="str">
        <f>"Условные требования по купле-продаже иностранной валюты"</f>
        <v>Условные требования по купле-продаже иностранной валюты</v>
      </c>
      <c r="F498" s="3">
        <v>0</v>
      </c>
      <c r="G498" s="3">
        <v>0</v>
      </c>
      <c r="H498" s="3">
        <v>0</v>
      </c>
      <c r="I498" s="7">
        <v>7445047413.1199999</v>
      </c>
    </row>
    <row r="499" spans="1:9" x14ac:dyDescent="0.25">
      <c r="A499" s="3">
        <v>492</v>
      </c>
      <c r="B499" s="4">
        <v>45289</v>
      </c>
      <c r="C499" s="3">
        <v>15</v>
      </c>
      <c r="D499" s="5" t="str">
        <f>"6505"</f>
        <v>6505</v>
      </c>
      <c r="E499" s="6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499" s="3">
        <v>0</v>
      </c>
      <c r="G499" s="3">
        <v>0</v>
      </c>
      <c r="H499" s="3">
        <v>0</v>
      </c>
      <c r="I499" s="7">
        <v>4694718953.4700003</v>
      </c>
    </row>
    <row r="500" spans="1:9" x14ac:dyDescent="0.25">
      <c r="A500" s="3">
        <v>493</v>
      </c>
      <c r="B500" s="4">
        <v>45289</v>
      </c>
      <c r="C500" s="3">
        <v>15</v>
      </c>
      <c r="D500" s="5" t="str">
        <f>"6520"</f>
        <v>6520</v>
      </c>
      <c r="E500" s="6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00" s="3">
        <v>0</v>
      </c>
      <c r="G500" s="3">
        <v>0</v>
      </c>
      <c r="H500" s="3">
        <v>0</v>
      </c>
      <c r="I500" s="7">
        <v>8430023144.0799999</v>
      </c>
    </row>
    <row r="501" spans="1:9" x14ac:dyDescent="0.25">
      <c r="A501" s="3">
        <v>494</v>
      </c>
      <c r="B501" s="4">
        <v>45289</v>
      </c>
      <c r="C501" s="3">
        <v>15</v>
      </c>
      <c r="D501" s="5" t="str">
        <f>"6555"</f>
        <v>6555</v>
      </c>
      <c r="E501" s="6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01" s="3">
        <v>0</v>
      </c>
      <c r="G501" s="3">
        <v>0</v>
      </c>
      <c r="H501" s="3">
        <v>0</v>
      </c>
      <c r="I501" s="7">
        <v>31795425662.639999</v>
      </c>
    </row>
    <row r="502" spans="1:9" x14ac:dyDescent="0.25">
      <c r="A502" s="3">
        <v>495</v>
      </c>
      <c r="B502" s="4">
        <v>45289</v>
      </c>
      <c r="C502" s="3">
        <v>15</v>
      </c>
      <c r="D502" s="5" t="str">
        <f>"6575"</f>
        <v>6575</v>
      </c>
      <c r="E502" s="6" t="str">
        <f>"Возможное уменьшение требований по принятым гарантиям"</f>
        <v>Возможное уменьшение требований по принятым гарантиям</v>
      </c>
      <c r="F502" s="3">
        <v>0</v>
      </c>
      <c r="G502" s="3">
        <v>0</v>
      </c>
      <c r="H502" s="3">
        <v>0</v>
      </c>
      <c r="I502" s="7">
        <v>659696815299.04004</v>
      </c>
    </row>
    <row r="503" spans="1:9" x14ac:dyDescent="0.25">
      <c r="A503" s="3">
        <v>496</v>
      </c>
      <c r="B503" s="4">
        <v>45289</v>
      </c>
      <c r="C503" s="3">
        <v>15</v>
      </c>
      <c r="D503" s="5" t="str">
        <f>"6625"</f>
        <v>6625</v>
      </c>
      <c r="E503" s="6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03" s="3">
        <v>0</v>
      </c>
      <c r="G503" s="3">
        <v>0</v>
      </c>
      <c r="H503" s="3">
        <v>0</v>
      </c>
      <c r="I503" s="7">
        <v>7400715733.75</v>
      </c>
    </row>
    <row r="504" spans="1:9" x14ac:dyDescent="0.25">
      <c r="A504" s="3">
        <v>497</v>
      </c>
      <c r="B504" s="4">
        <v>45289</v>
      </c>
      <c r="C504" s="3">
        <v>15</v>
      </c>
      <c r="D504" s="5" t="str">
        <f>"6626"</f>
        <v>6626</v>
      </c>
      <c r="E504" s="6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04" s="3">
        <v>0</v>
      </c>
      <c r="G504" s="3">
        <v>0</v>
      </c>
      <c r="H504" s="3">
        <v>0</v>
      </c>
      <c r="I504" s="7">
        <v>122658446179.39</v>
      </c>
    </row>
    <row r="505" spans="1:9" x14ac:dyDescent="0.25">
      <c r="A505" s="3">
        <v>498</v>
      </c>
      <c r="B505" s="4">
        <v>45289</v>
      </c>
      <c r="C505" s="3">
        <v>15</v>
      </c>
      <c r="D505" s="5" t="str">
        <f>"6630"</f>
        <v>6630</v>
      </c>
      <c r="E505" s="6" t="str">
        <f>"Обязательства по неподвижным вкладам клиентов"</f>
        <v>Обязательства по неподвижным вкладам клиентов</v>
      </c>
      <c r="F505" s="3">
        <v>0</v>
      </c>
      <c r="G505" s="3">
        <v>0</v>
      </c>
      <c r="H505" s="3">
        <v>0</v>
      </c>
      <c r="I505" s="7">
        <v>8069874.5</v>
      </c>
    </row>
    <row r="506" spans="1:9" x14ac:dyDescent="0.25">
      <c r="A506" s="3">
        <v>499</v>
      </c>
      <c r="B506" s="4">
        <v>45289</v>
      </c>
      <c r="C506" s="3">
        <v>15</v>
      </c>
      <c r="D506" s="5" t="str">
        <f>"6905"</f>
        <v>6905</v>
      </c>
      <c r="E506" s="6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06" s="3">
        <v>0</v>
      </c>
      <c r="G506" s="3">
        <v>0</v>
      </c>
      <c r="H506" s="3">
        <v>0</v>
      </c>
      <c r="I506" s="7">
        <v>7442245200.8100004</v>
      </c>
    </row>
    <row r="507" spans="1:9" x14ac:dyDescent="0.25">
      <c r="A507" s="3">
        <v>500</v>
      </c>
      <c r="B507" s="4">
        <v>45289</v>
      </c>
      <c r="C507" s="3">
        <v>15</v>
      </c>
      <c r="D507" s="5" t="str">
        <f>"6999"</f>
        <v>6999</v>
      </c>
      <c r="E507" s="6" t="str">
        <f>"Позиция по сделкам с иностранной валютой"</f>
        <v>Позиция по сделкам с иностранной валютой</v>
      </c>
      <c r="F507" s="3">
        <v>0</v>
      </c>
      <c r="G507" s="3">
        <v>0</v>
      </c>
      <c r="H507" s="3">
        <v>0</v>
      </c>
      <c r="I507" s="7">
        <v>2802212.31</v>
      </c>
    </row>
    <row r="508" spans="1:9" x14ac:dyDescent="0.25">
      <c r="A508" s="3">
        <v>501</v>
      </c>
      <c r="B508" s="4">
        <v>45289</v>
      </c>
      <c r="C508" s="3">
        <v>15</v>
      </c>
      <c r="D508" s="5" t="str">
        <f>"7250"</f>
        <v>7250</v>
      </c>
      <c r="E508" s="6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08" s="3">
        <v>0</v>
      </c>
      <c r="G508" s="3">
        <v>0</v>
      </c>
      <c r="H508" s="3">
        <v>0</v>
      </c>
      <c r="I508" s="7">
        <v>480440046793.77002</v>
      </c>
    </row>
    <row r="509" spans="1:9" x14ac:dyDescent="0.25">
      <c r="A509" s="3">
        <v>502</v>
      </c>
      <c r="B509" s="4">
        <v>45289</v>
      </c>
      <c r="C509" s="3">
        <v>15</v>
      </c>
      <c r="D509" s="5" t="str">
        <f>"7303"</f>
        <v>7303</v>
      </c>
      <c r="E509" s="6" t="str">
        <f>"Платежные документы, не оплаченные в срок"</f>
        <v>Платежные документы, не оплаченные в срок</v>
      </c>
      <c r="F509" s="3">
        <v>0</v>
      </c>
      <c r="G509" s="3">
        <v>0</v>
      </c>
      <c r="H509" s="3">
        <v>0</v>
      </c>
      <c r="I509" s="7">
        <v>255532057377.14999</v>
      </c>
    </row>
    <row r="510" spans="1:9" x14ac:dyDescent="0.25">
      <c r="A510" s="3">
        <v>503</v>
      </c>
      <c r="B510" s="4">
        <v>45289</v>
      </c>
      <c r="C510" s="3">
        <v>15</v>
      </c>
      <c r="D510" s="5" t="str">
        <f>"7339"</f>
        <v>7339</v>
      </c>
      <c r="E510" s="6" t="str">
        <f>"Разные ценности и документы"</f>
        <v>Разные ценности и документы</v>
      </c>
      <c r="F510" s="3">
        <v>0</v>
      </c>
      <c r="G510" s="3">
        <v>0</v>
      </c>
      <c r="H510" s="3">
        <v>0</v>
      </c>
      <c r="I510" s="7">
        <v>101590</v>
      </c>
    </row>
    <row r="511" spans="1:9" x14ac:dyDescent="0.25">
      <c r="A511" s="3">
        <v>504</v>
      </c>
      <c r="B511" s="4">
        <v>45289</v>
      </c>
      <c r="C511" s="3">
        <v>15</v>
      </c>
      <c r="D511" s="5" t="str">
        <f>"7342"</f>
        <v>7342</v>
      </c>
      <c r="E511" s="6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11" s="3">
        <v>0</v>
      </c>
      <c r="G511" s="3">
        <v>0</v>
      </c>
      <c r="H511" s="3">
        <v>0</v>
      </c>
      <c r="I511" s="7">
        <v>109501</v>
      </c>
    </row>
    <row r="512" spans="1:9" x14ac:dyDescent="0.25">
      <c r="A512" s="3">
        <v>505</v>
      </c>
      <c r="B512" s="4">
        <v>45289</v>
      </c>
      <c r="C512" s="3">
        <v>15</v>
      </c>
      <c r="D512" s="5" t="str">
        <f>"7535"</f>
        <v>7535</v>
      </c>
      <c r="E512" s="6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12" s="3">
        <v>0</v>
      </c>
      <c r="G512" s="3">
        <v>0</v>
      </c>
      <c r="H512" s="3">
        <v>0</v>
      </c>
      <c r="I512" s="7">
        <v>93161437.530000001</v>
      </c>
    </row>
    <row r="514" spans="1:1" x14ac:dyDescent="0.25">
      <c r="A514" s="6" t="s">
        <v>11</v>
      </c>
    </row>
    <row r="515" spans="1:1" x14ac:dyDescent="0.25">
      <c r="A515" s="6" t="s">
        <v>12</v>
      </c>
    </row>
    <row r="516" spans="1:1" x14ac:dyDescent="0.25">
      <c r="A516" s="6" t="s">
        <v>13</v>
      </c>
    </row>
    <row r="517" spans="1:1" x14ac:dyDescent="0.25">
      <c r="A517" s="6"/>
    </row>
    <row r="518" spans="1:1" x14ac:dyDescent="0.25">
      <c r="A518" s="6" t="s">
        <v>14</v>
      </c>
    </row>
    <row r="519" spans="1:1" x14ac:dyDescent="0.25">
      <c r="A519" s="6" t="s">
        <v>15</v>
      </c>
    </row>
    <row r="520" spans="1:1" x14ac:dyDescent="0.25">
      <c r="A520" s="6"/>
    </row>
    <row r="521" spans="1:1" x14ac:dyDescent="0.25">
      <c r="A521" s="6" t="s">
        <v>16</v>
      </c>
    </row>
    <row r="522" spans="1:1" x14ac:dyDescent="0.25">
      <c r="A522" s="6" t="s">
        <v>17</v>
      </c>
    </row>
    <row r="524" spans="1:1" x14ac:dyDescent="0.25">
      <c r="A524" s="6" t="s">
        <v>18</v>
      </c>
    </row>
  </sheetData>
  <mergeCells count="4">
    <mergeCell ref="F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Хайролда Жәния</dc:creator>
  <cp:lastModifiedBy>Хайролда Жәния</cp:lastModifiedBy>
  <dcterms:created xsi:type="dcterms:W3CDTF">2024-01-16T09:16:57Z</dcterms:created>
  <dcterms:modified xsi:type="dcterms:W3CDTF">2024-01-16T09:19:04Z</dcterms:modified>
</cp:coreProperties>
</file>