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9440" windowHeight="6930" firstSheet="36" activeTab="36"/>
  </bookViews>
  <sheets>
    <sheet name="ББ с переоц" sheetId="1" r:id="rId1"/>
    <sheet name="Ф2" sheetId="2" r:id="rId2"/>
    <sheet name="Ф3" sheetId="3" r:id="rId3"/>
    <sheet name="Ф4" sheetId="4" r:id="rId4"/>
    <sheet name="осв 06" sheetId="5" r:id="rId5"/>
    <sheet name="осв от 10.07.2014г" sheetId="6" r:id="rId6"/>
    <sheet name="ф3 06" sheetId="7" r:id="rId7"/>
    <sheet name="осв2184 06" sheetId="8" r:id="rId8"/>
    <sheet name="осв07" sheetId="9" r:id="rId9"/>
    <sheet name="осв 08" sheetId="10" r:id="rId10"/>
    <sheet name="218408" sheetId="11" r:id="rId11"/>
    <sheet name="ББ с переоц 08" sheetId="12" r:id="rId12"/>
    <sheet name="Ф2 (08)" sheetId="13" r:id="rId13"/>
    <sheet name="Ф4 (08)" sheetId="14" r:id="rId14"/>
    <sheet name="Ф3 (08)" sheetId="15" r:id="rId15"/>
    <sheet name="расчет прибыли 08" sheetId="16" r:id="rId16"/>
    <sheet name="351008" sheetId="17" r:id="rId17"/>
    <sheet name="осв 09" sheetId="18" r:id="rId18"/>
    <sheet name="ББ с переоц 09" sheetId="19" r:id="rId19"/>
    <sheet name="Ф3 (9)" sheetId="20" r:id="rId20"/>
    <sheet name="Ф2 (9)" sheetId="21" r:id="rId21"/>
    <sheet name="Ф4 (9)" sheetId="22" r:id="rId22"/>
    <sheet name="расчет прибыли 09" sheetId="23" r:id="rId23"/>
    <sheet name="расчет прибыли 11" sheetId="24" r:id="rId24"/>
    <sheet name="осв 11" sheetId="25" r:id="rId25"/>
    <sheet name="ББ с переоц 11" sheetId="26" r:id="rId26"/>
    <sheet name="Ф211" sheetId="27" r:id="rId27"/>
    <sheet name="ф4(11)" sheetId="28" r:id="rId28"/>
    <sheet name="ББ с переоц 12" sheetId="29" r:id="rId29"/>
    <sheet name="Ф212" sheetId="30" r:id="rId30"/>
    <sheet name="Ф3 (12)" sheetId="31" r:id="rId31"/>
    <sheet name="осв2014" sheetId="32" r:id="rId32"/>
    <sheet name="ф4(12)" sheetId="33" r:id="rId33"/>
    <sheet name="расч приб 2014" sheetId="34" r:id="rId34"/>
    <sheet name="ББ с переоц 12 (2)" sheetId="35" r:id="rId35"/>
    <sheet name="Ф212 (2)" sheetId="36" r:id="rId36"/>
    <sheet name="форма1" sheetId="37" r:id="rId37"/>
    <sheet name="форма 2" sheetId="38" r:id="rId38"/>
  </sheets>
  <externalReferences>
    <externalReference r:id="rId41"/>
    <externalReference r:id="rId42"/>
    <externalReference r:id="rId43"/>
  </externalReferences>
  <definedNames>
    <definedName name="_xlnm.Print_Area" localSheetId="0">'ББ с переоц'!$A$1:$E$80</definedName>
    <definedName name="_xlnm.Print_Area" localSheetId="11">'ББ с переоц 08'!$A$1:$E$80</definedName>
    <definedName name="_xlnm.Print_Area" localSheetId="18">'ББ с переоц 09'!$A$1:$E$80</definedName>
    <definedName name="_xlnm.Print_Area" localSheetId="25">'ББ с переоц 11'!$A$1:$E$80</definedName>
    <definedName name="_xlnm.Print_Area" localSheetId="28">'ББ с переоц 12'!$A$1:$E$80</definedName>
    <definedName name="_xlnm.Print_Area" localSheetId="34">'ББ с переоц 12 (2)'!$A$1:$E$80</definedName>
    <definedName name="_xlnm.Print_Area" localSheetId="36">'форма1'!$A$1:$E$80</definedName>
  </definedNames>
  <calcPr fullCalcOnLoad="1"/>
</workbook>
</file>

<file path=xl/comments1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comments12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comments15.xml><?xml version="1.0" encoding="utf-8"?>
<comments xmlns="http://schemas.openxmlformats.org/spreadsheetml/2006/main">
  <authors>
    <author>r.yaeva</author>
  </authors>
  <commentList>
    <comment ref="D23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3310,1610
</t>
        </r>
      </text>
    </comment>
    <comment ref="E23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3310</t>
        </r>
      </text>
    </comment>
    <comment ref="E24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1610-119176(1612)
</t>
        </r>
      </text>
    </comment>
    <comment ref="D25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1252,3120,3220,3350,3394,3395,3401
</t>
        </r>
      </text>
    </comment>
    <comment ref="E25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1252,3120,3220,3350,3394,3395,3401
</t>
        </r>
      </text>
    </comment>
    <comment ref="E2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3385</t>
        </r>
      </text>
    </comment>
    <comment ref="D2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3110,3130,3150,3160,3180,3190,3210,1421,1430</t>
        </r>
      </text>
    </comment>
    <comment ref="E2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3110,3130,3150,3160,3180,3190,3210,1421,1430</t>
        </r>
      </text>
    </comment>
    <comment ref="D29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1251,2020,3396,3397,3402,1280,
</t>
        </r>
      </text>
    </comment>
    <comment ref="E29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1251,2020,3396,3397,3402,7200,7400,8400
1280,
</t>
        </r>
      </text>
    </comment>
    <comment ref="D47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1612
</t>
        </r>
      </text>
    </comment>
    <comment ref="D6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4025</t>
        </r>
      </text>
    </comment>
    <comment ref="E6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4025</t>
        </r>
      </text>
    </comment>
    <comment ref="D72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4177</t>
        </r>
      </text>
    </comment>
    <comment ref="E72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4177</t>
        </r>
      </text>
    </comment>
    <comment ref="D7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</t>
        </r>
      </text>
    </comment>
    <comment ref="E7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a.sarsenova</author>
  </authors>
  <commentList>
    <comment ref="B35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2083515,60-103192,20=1980323,40</t>
        </r>
      </text>
    </comment>
    <comment ref="F35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2083515,60-2491989,80=484474,20</t>
        </r>
      </text>
    </comment>
  </commentList>
</comments>
</file>

<file path=xl/comments19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comments20.xml><?xml version="1.0" encoding="utf-8"?>
<comments xmlns="http://schemas.openxmlformats.org/spreadsheetml/2006/main">
  <authors>
    <author>r.yaeva</author>
  </authors>
  <commentList>
    <comment ref="D23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3310,1610
</t>
        </r>
      </text>
    </comment>
    <comment ref="E23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3310</t>
        </r>
      </text>
    </comment>
    <comment ref="E24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1610-119176(1612)
</t>
        </r>
      </text>
    </comment>
    <comment ref="D25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1252,3120,3220,3350,3394,3395,3401
</t>
        </r>
      </text>
    </comment>
    <comment ref="E25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1252,3120,3220,3350,3394,3395,3401
</t>
        </r>
      </text>
    </comment>
    <comment ref="E2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3385</t>
        </r>
      </text>
    </comment>
    <comment ref="D2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3110,3130,3150,3160,3180,3190,3210,1421,1430</t>
        </r>
      </text>
    </comment>
    <comment ref="E2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3110,3130,3150,3160,3180,3190,3210,1421,1430</t>
        </r>
      </text>
    </comment>
    <comment ref="D29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1251,2020,3396,3397,3402,1280,
</t>
        </r>
      </text>
    </comment>
    <comment ref="E29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1251,2020,3396,3397,3402,7200,7400,8400
1280,
</t>
        </r>
      </text>
    </comment>
    <comment ref="D47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1612
</t>
        </r>
      </text>
    </comment>
    <comment ref="D6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4025</t>
        </r>
      </text>
    </comment>
    <comment ref="E6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4025</t>
        </r>
      </text>
    </comment>
    <comment ref="D72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4177</t>
        </r>
      </text>
    </comment>
    <comment ref="E72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4177</t>
        </r>
      </text>
    </comment>
    <comment ref="D7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</t>
        </r>
      </text>
    </comment>
    <comment ref="E7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a.sarsenova</author>
  </authors>
  <commentList>
    <comment ref="B35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2083515,60-103192,20=1980323,40</t>
        </r>
      </text>
    </comment>
    <comment ref="F35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2083515,60-2491989,80=484474,20</t>
        </r>
      </text>
    </comment>
  </commentList>
</comments>
</file>

<file path=xl/comments24.xml><?xml version="1.0" encoding="utf-8"?>
<comments xmlns="http://schemas.openxmlformats.org/spreadsheetml/2006/main">
  <authors>
    <author>a.sarsenova</author>
  </authors>
  <commentList>
    <comment ref="B37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2083515,60-103192,20=1980323,40</t>
        </r>
      </text>
    </comment>
    <comment ref="F37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2083515,60-2491989,80=484474,20</t>
        </r>
      </text>
    </comment>
  </commentList>
</comments>
</file>

<file path=xl/comments26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comments29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comments3.xml><?xml version="1.0" encoding="utf-8"?>
<comments xmlns="http://schemas.openxmlformats.org/spreadsheetml/2006/main">
  <authors>
    <author>r.yaeva</author>
  </authors>
  <commentList>
    <comment ref="D23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3310,7210,8410,7470
</t>
        </r>
      </text>
    </comment>
    <comment ref="E23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3310</t>
        </r>
      </text>
    </comment>
    <comment ref="E24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1610-119176(1612)
</t>
        </r>
      </text>
    </comment>
    <comment ref="D25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1252,3120,3220,3350,3394,3395,3401
</t>
        </r>
      </text>
    </comment>
    <comment ref="E25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1252,3120,3220,3350,3394,3395,3401
</t>
        </r>
      </text>
    </comment>
    <comment ref="E2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3385</t>
        </r>
      </text>
    </comment>
    <comment ref="D2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3110,3130,3150,3160,3180,3190,3210,1421,1430</t>
        </r>
      </text>
    </comment>
    <comment ref="E2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3110,3130,3150,3160,3180,3190,3210,1421,1430</t>
        </r>
      </text>
    </comment>
    <comment ref="D29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1251,2020,3396,3397,3402,1280,
</t>
        </r>
      </text>
    </comment>
    <comment ref="E29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1251,2020,3396,3397,3402,7200,7400,8400
1280,
</t>
        </r>
      </text>
    </comment>
    <comment ref="D47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1612
</t>
        </r>
      </text>
    </comment>
    <comment ref="D6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4025</t>
        </r>
      </text>
    </comment>
    <comment ref="E6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4025</t>
        </r>
      </text>
    </comment>
    <comment ref="D72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4177</t>
        </r>
      </text>
    </comment>
    <comment ref="E72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4177</t>
        </r>
      </text>
    </comment>
    <comment ref="D7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</t>
        </r>
      </text>
    </comment>
    <comment ref="E7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</t>
        </r>
      </text>
    </comment>
    <comment ref="F7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r.yaeva</author>
  </authors>
  <commentList>
    <comment ref="D23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3310,1610
</t>
        </r>
      </text>
    </comment>
    <comment ref="E23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3310</t>
        </r>
      </text>
    </comment>
    <comment ref="E24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1610-119176(1612)
</t>
        </r>
      </text>
    </comment>
    <comment ref="D25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1252,3120,3220,3350,3394,3395,3401
</t>
        </r>
      </text>
    </comment>
    <comment ref="E25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1252,3120,3220,3350,3394,3395,3401
</t>
        </r>
      </text>
    </comment>
    <comment ref="E2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3385</t>
        </r>
      </text>
    </comment>
    <comment ref="D2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3110,3130,3150,3160,3180,3190,3210,1421,1430</t>
        </r>
      </text>
    </comment>
    <comment ref="E2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3110,3130,3150,3160,3180,3190,3210,1421,1430</t>
        </r>
      </text>
    </comment>
    <comment ref="D29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1251,2020,3396,3397,3402,1280,
</t>
        </r>
      </text>
    </comment>
    <comment ref="E29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1251,2020,3396,3397,3402,7200,7400,8400
1280,
</t>
        </r>
      </text>
    </comment>
    <comment ref="D47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1612
</t>
        </r>
      </text>
    </comment>
    <comment ref="D6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4025</t>
        </r>
      </text>
    </comment>
    <comment ref="E68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4025</t>
        </r>
      </text>
    </comment>
    <comment ref="D72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4177</t>
        </r>
      </text>
    </comment>
    <comment ref="E72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4177</t>
        </r>
      </text>
    </comment>
    <comment ref="D7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</t>
        </r>
      </text>
    </comment>
    <comment ref="E76" authorId="0">
      <text>
        <r>
          <rPr>
            <b/>
            <sz val="8"/>
            <rFont val="Tahoma"/>
            <family val="2"/>
          </rPr>
          <t>r.yaeva: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a.sarsenova</author>
  </authors>
  <commentList>
    <comment ref="B37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2083515,60-103192,20=1980323,40</t>
        </r>
      </text>
    </comment>
    <comment ref="F37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2083515,60-2491989,80=484474,20</t>
        </r>
      </text>
    </comment>
  </commentList>
</comments>
</file>

<file path=xl/comments35.xml><?xml version="1.0" encoding="utf-8"?>
<comments xmlns="http://schemas.openxmlformats.org/spreadsheetml/2006/main">
  <authors>
    <author>a.sarsenova</author>
  </authors>
  <commentList>
    <comment ref="D21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comments37.xml><?xml version="1.0" encoding="utf-8"?>
<comments xmlns="http://schemas.openxmlformats.org/spreadsheetml/2006/main">
  <authors>
    <author>a.sarsenova</author>
  </authors>
  <commentList>
    <comment ref="H46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2383127,64 которые после изменения 20 знач банков данных не предоставили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AQ1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 системе возврат ПДМ села на стр 121</t>
        </r>
      </text>
    </comment>
  </commentList>
</comments>
</file>

<file path=xl/sharedStrings.xml><?xml version="1.0" encoding="utf-8"?>
<sst xmlns="http://schemas.openxmlformats.org/spreadsheetml/2006/main" count="3652" uniqueCount="701">
  <si>
    <t>Приложение 2</t>
  </si>
  <si>
    <t>к приказу Министра Финансов Республики Казахстан</t>
  </si>
  <si>
    <t>от 20 августа 2010 г. № 422</t>
  </si>
  <si>
    <t>Бухгалтерский баланс</t>
  </si>
  <si>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</si>
  <si>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</si>
  <si>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</si>
  <si>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</si>
  <si>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</si>
  <si>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</si>
  <si>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</si>
  <si>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</si>
  <si>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</si>
  <si>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</si>
  <si>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</si>
  <si>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</si>
  <si>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</si>
  <si>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</si>
  <si>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</si>
  <si>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</si>
  <si>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</si>
  <si>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</si>
  <si>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</si>
  <si>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</si>
  <si>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</si>
  <si>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</si>
  <si>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</si>
  <si>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</si>
  <si>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</si>
  <si>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</si>
  <si>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</si>
  <si>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</si>
  <si>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</si>
  <si>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</si>
  <si>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</si>
  <si>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</si>
  <si>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</si>
  <si>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</si>
  <si>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</si>
  <si>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</si>
  <si>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</si>
  <si>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</si>
  <si>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</si>
  <si>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</si>
  <si>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</si>
  <si>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</si>
  <si>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</si>
  <si>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</si>
  <si>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</si>
  <si>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</si>
  <si>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</si>
  <si>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</si>
  <si>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</si>
  <si>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</si>
  <si>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</si>
  <si>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</si>
  <si>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</si>
  <si>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</si>
  <si>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</si>
  <si>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</si>
  <si>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</si>
  <si>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</si>
  <si>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</si>
  <si>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</t>
  </si>
  <si>
    <t>Главный бухгалтер</t>
  </si>
  <si>
    <t>АО "Мангистауская распределительная электросетевая компания"</t>
  </si>
  <si>
    <t>Источник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</si>
  <si>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</si>
  <si>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</si>
  <si>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</si>
  <si>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</si>
  <si>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</si>
  <si>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</si>
  <si>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</si>
  <si>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</si>
  <si>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</si>
  <si>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</si>
  <si>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Итого</t>
  </si>
  <si>
    <t>KZT000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</si>
  <si>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</si>
  <si>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</si>
  <si>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</si>
  <si>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 xml:space="preserve">Курсовые разницы, возникающие по переводу операций в иностранной валюте </t>
  </si>
  <si>
    <t>МСБУ 1.96 (б)</t>
  </si>
  <si>
    <t xml:space="preserve">Переоценка основных средств </t>
  </si>
  <si>
    <t>Связанный подоходный налог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</si>
  <si>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</si>
  <si>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</si>
  <si>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</si>
  <si>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</si>
  <si>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</si>
  <si>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</si>
  <si>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</si>
  <si>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>Прочее</t>
  </si>
  <si>
    <t>МСБУ 1.96(a)</t>
  </si>
  <si>
    <r>
      <t>Д</t>
    </r>
    <r>
      <rPr>
        <b/>
        <sz val="8"/>
        <color indexed="19"/>
        <rFont val="Arial"/>
        <family val="2"/>
      </rPr>
      <t>оход (убыток) за год</t>
    </r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</si>
  <si>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</si>
  <si>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</si>
  <si>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</si>
  <si>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</si>
  <si>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</si>
  <si>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</si>
  <si>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</si>
  <si>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</si>
  <si>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</si>
  <si>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</si>
  <si>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</si>
  <si>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>на конец отчетного периода</t>
  </si>
  <si>
    <t>Приложение 4</t>
  </si>
  <si>
    <t>от 23 октября 2010 г. № 422</t>
  </si>
  <si>
    <t>Отчет о движении денежных средств (прямой метод)</t>
  </si>
  <si>
    <t>тыс.тенге</t>
  </si>
  <si>
    <t>Наименование показателей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</si>
  <si>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</si>
  <si>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</si>
  <si>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</si>
  <si>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</si>
  <si>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</si>
  <si>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</si>
  <si>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</si>
  <si>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</si>
  <si>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</si>
  <si>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</si>
  <si>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</si>
  <si>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</si>
  <si>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</si>
  <si>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</si>
  <si>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</si>
  <si>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</si>
  <si>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</si>
  <si>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</si>
  <si>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</si>
  <si>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</si>
  <si>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</si>
  <si>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</si>
  <si>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</si>
  <si>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</si>
  <si>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</si>
  <si>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</si>
  <si>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</si>
  <si>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</si>
  <si>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</si>
  <si>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</si>
  <si>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</si>
  <si>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</si>
  <si>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</si>
  <si>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</si>
  <si>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</si>
  <si>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</si>
  <si>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</si>
  <si>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</si>
  <si>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</si>
  <si>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</si>
  <si>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</si>
  <si>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</si>
  <si>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</si>
  <si>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</si>
  <si>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</si>
  <si>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</si>
  <si>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</si>
  <si>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</si>
  <si>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</si>
  <si>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</si>
  <si>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</si>
  <si>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</si>
  <si>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</si>
  <si>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</si>
  <si>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</si>
  <si>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</si>
  <si>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Приложение 3</t>
  </si>
  <si>
    <t>Отчет о прибылях и убытках</t>
  </si>
  <si>
    <t>За предыдущий период (аналогичный период)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</si>
  <si>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</si>
  <si>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</si>
  <si>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</si>
  <si>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</si>
  <si>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</si>
  <si>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</si>
  <si>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</si>
  <si>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</si>
  <si>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</si>
  <si>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</si>
  <si>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</si>
  <si>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</si>
  <si>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</si>
  <si>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</si>
  <si>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</si>
  <si>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</si>
  <si>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</si>
  <si>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</si>
  <si>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 xml:space="preserve">Сальдо на 1 января 2013 года  </t>
  </si>
  <si>
    <t>Дебет</t>
  </si>
  <si>
    <t>Кредит</t>
  </si>
  <si>
    <t>собственников материнской организации</t>
  </si>
  <si>
    <t>долю неконтролирующих собственников</t>
  </si>
  <si>
    <t>АО МРЭК</t>
  </si>
  <si>
    <t>Выводимые данные:</t>
  </si>
  <si>
    <t>БУ (данные бухгалтерского учета)</t>
  </si>
  <si>
    <t>Счет, Наименование</t>
  </si>
  <si>
    <t>Сальдо на начало периода</t>
  </si>
  <si>
    <t>Обороты за период</t>
  </si>
  <si>
    <t>Сальдо на конец периода</t>
  </si>
  <si>
    <t>1000, Денежные средства</t>
  </si>
  <si>
    <t>1010, Денежные средства в кассе</t>
  </si>
  <si>
    <t>1020, Денежные средства в пути</t>
  </si>
  <si>
    <t>1021, Денежные средства в пути</t>
  </si>
  <si>
    <t>1030, Денежные средства на текущих банковских счетах</t>
  </si>
  <si>
    <t>1031, Денежные средства на текущих банковских счетах</t>
  </si>
  <si>
    <t>1200, Краткосрочная дебиторская задолженность</t>
  </si>
  <si>
    <t>1201, Задолженность за техобслуживание</t>
  </si>
  <si>
    <t>1202, Задолженность за подключение</t>
  </si>
  <si>
    <t>1210, Краткосрочная дебиторская задолженность покупателей и заказчиков</t>
  </si>
  <si>
    <t>1211, Краткосрочная дебиторская задолженность покупателей и заказчиков</t>
  </si>
  <si>
    <t>1250, Краткосрочная дебиторская задолженность работников</t>
  </si>
  <si>
    <t>1251, Краткосрочная задолженность подочетных лиц</t>
  </si>
  <si>
    <t>1252, Задолженность по выплаченной заработной плате</t>
  </si>
  <si>
    <t>1255, Прочая краткосрочная дебиторская задолженность с работниками</t>
  </si>
  <si>
    <t>1280, Прочая краткосрочная дебиторская задолженность</t>
  </si>
  <si>
    <t>1284, Прочая краткосрочная дебиторская задолженность</t>
  </si>
  <si>
    <t>1290, Резерв по сомнительным требованиям</t>
  </si>
  <si>
    <t>1300, Запасы</t>
  </si>
  <si>
    <t>1310, Сырье и материалы</t>
  </si>
  <si>
    <t>1311, Сырье</t>
  </si>
  <si>
    <t>1312, Топливо</t>
  </si>
  <si>
    <t>1313, Запасные части</t>
  </si>
  <si>
    <t>1314, Строительные материалы</t>
  </si>
  <si>
    <t>1315, Прочее сырье и материалы</t>
  </si>
  <si>
    <t>1317, Резерв по устаревшим ТМЦ</t>
  </si>
  <si>
    <t>1320, Готовая продукция</t>
  </si>
  <si>
    <t>1324, Прочая готовая продукция</t>
  </si>
  <si>
    <t>1330, Товары</t>
  </si>
  <si>
    <t>1400, Текущие налоговые активы</t>
  </si>
  <si>
    <t>1410, Корпоративный подоходный налог</t>
  </si>
  <si>
    <t>1420, Налог на добавленную стоимость</t>
  </si>
  <si>
    <t>1421, Налог на добавленную стоимость</t>
  </si>
  <si>
    <t>1430, Прочие налоги и другие обязательные платежи в бюджет</t>
  </si>
  <si>
    <t>1600, Прочие краткосрочные активы</t>
  </si>
  <si>
    <t>1610, Краткосрочные авансы выданные</t>
  </si>
  <si>
    <t>1611, Краткосрочные авансы выданные под выполнение работ и оказание услуг и текущая часть авансов под выполнение работ</t>
  </si>
  <si>
    <t>1612, Краткосрочные авансы выданные под поставку ОС и текущая часть долгосрочных авансов, выданных под приобретение ОС</t>
  </si>
  <si>
    <t>1613, Краткосрочные авансы выданные по поставку ТМЗ и текущая часть долгосрочных авансов, выданных под поставку ТМЗ</t>
  </si>
  <si>
    <t>1620, Краткосрочные расходы будущих периодов</t>
  </si>
  <si>
    <t>2100, Долгосрочная дебиторская задолженность</t>
  </si>
  <si>
    <t>2180, Прочая долгосрочная дебиторская задолженность</t>
  </si>
  <si>
    <t>2184, Прочая долгосрочная дебиторская задолженность</t>
  </si>
  <si>
    <t>2400, Основные средства</t>
  </si>
  <si>
    <t>2410, Основные средства</t>
  </si>
  <si>
    <t>2412, Здания и сооружения</t>
  </si>
  <si>
    <t>2413, Машины, оборудование и передаточные устройства</t>
  </si>
  <si>
    <t>2414, Транспортные средства</t>
  </si>
  <si>
    <t>2419, Прочее</t>
  </si>
  <si>
    <t>2420, Амортизация основных средств</t>
  </si>
  <si>
    <t>2421, Амортизация зданий и сооружений</t>
  </si>
  <si>
    <t>2422, Амортизация машин, оборудования и передаточных устройств</t>
  </si>
  <si>
    <t>2423, Амортизация транспортных средств</t>
  </si>
  <si>
    <t>2427, Амортизация прочих основных средств</t>
  </si>
  <si>
    <t>2700, Нематериальные активы</t>
  </si>
  <si>
    <t>2730, Прочие нематериальные активы</t>
  </si>
  <si>
    <t>2732, Программное обеспечение</t>
  </si>
  <si>
    <t>2733, Лицензии и франшизы</t>
  </si>
  <si>
    <t>2735, Прочие нематериальные активы</t>
  </si>
  <si>
    <t>2740, Амортизация прочих нематериальных активов</t>
  </si>
  <si>
    <t>2742, Амортизация программного обеспечения</t>
  </si>
  <si>
    <t>2743, Амортизация лицензий и франшиз</t>
  </si>
  <si>
    <t>2745, Амортизация прочих нематериальных активов</t>
  </si>
  <si>
    <t>2900, Прочие долгосрочные активы</t>
  </si>
  <si>
    <t>2930, Незавершенное строительство</t>
  </si>
  <si>
    <t>2931, Незавершенное строительство</t>
  </si>
  <si>
    <t>3000, Краткосрочные финансовые обязательства</t>
  </si>
  <si>
    <t>3030, Краткосрочная кредиторская задолженность по дивидендам и доходам участников</t>
  </si>
  <si>
    <t>3031, Расчеты по простым акциям</t>
  </si>
  <si>
    <t>3032, Расчеты по привилегированным акциям</t>
  </si>
  <si>
    <t>3040, Текущая часть долгосрочных финансовых обязательств</t>
  </si>
  <si>
    <t>3100, Обязательства по налогам</t>
  </si>
  <si>
    <t>3110, Корпоративный подоходный налог подлежащий уплате</t>
  </si>
  <si>
    <t>3120, Индивидуальный подоходный налог</t>
  </si>
  <si>
    <t>3130, Налог на добавленную стоимость</t>
  </si>
  <si>
    <t>3150, Социальный налог</t>
  </si>
  <si>
    <t>3160, Земельный налог</t>
  </si>
  <si>
    <t>3170, Налог на транспортные средства</t>
  </si>
  <si>
    <t>3180, Налог на имущество</t>
  </si>
  <si>
    <t>3190, Прочие налоги</t>
  </si>
  <si>
    <t>3200, Обязательства по другим обязательным и добровольным платежам</t>
  </si>
  <si>
    <t>3210, Обязательства по социальному страхованию</t>
  </si>
  <si>
    <t>3220, Обязательства по пенсионным отчислениям</t>
  </si>
  <si>
    <t>3300, Краткосрочная кредиторская задолженность</t>
  </si>
  <si>
    <t>3310, Краткосрочная задолженность поставщикам и подрядчикам</t>
  </si>
  <si>
    <t>3313, Прочая краткосрочная кредиторская задолженность поставщикам и подрядчикам</t>
  </si>
  <si>
    <t>3314, Краткосрочная кредит, задолжен, поставщикам и подрядчикам(материалы)</t>
  </si>
  <si>
    <t>3315, Краткосрочная кредит, задолжен, поставщикам и подрядчикам(услуги)</t>
  </si>
  <si>
    <t>3350, Краткосрочная задолженность по оплате труда</t>
  </si>
  <si>
    <t>3380, Краткосрочные вознаграждения к выплате</t>
  </si>
  <si>
    <t>3390, Прочая краткосрочная кредиторская задолженность</t>
  </si>
  <si>
    <t>3394, Задолженность по депонированной заработной плате</t>
  </si>
  <si>
    <t>3395, Задолженность по исполнительным листам</t>
  </si>
  <si>
    <t>3396, Задолженность перед подотчетными лицами</t>
  </si>
  <si>
    <t>3397, Прочая краткосрочная кредиторская задолженность</t>
  </si>
  <si>
    <t>3401, Прочая кредиторская задолженность(687.1.5)</t>
  </si>
  <si>
    <t>3402, Прочая краткосрочная кредиторская  задолженность</t>
  </si>
  <si>
    <t>3400, Краткосрочные оценочные обязательства</t>
  </si>
  <si>
    <t>3430, Краткосрочные оценочные обязательства по вознаграждениям работникам</t>
  </si>
  <si>
    <t>3500, Прочие краткосрочные обязательства</t>
  </si>
  <si>
    <t>3510, Краткосрочные авансы полученные</t>
  </si>
  <si>
    <t>3515, Авансы краткосрочные,  полученные под выполнение прочих работ и оказание прочих услуг</t>
  </si>
  <si>
    <t>3516, Переплата за услуги</t>
  </si>
  <si>
    <t>4000, Долгосрочные финансовые обязательства</t>
  </si>
  <si>
    <t>4020, Долгосрочные займы полученные от организаций осуществляющие банковские операции без лицензии уполномоченного органа</t>
  </si>
  <si>
    <t>4024, Займы по плате за доп. мощности</t>
  </si>
  <si>
    <t>4025, Займы по облигациям</t>
  </si>
  <si>
    <t>4030, Прочие долгосрочные финансовые обязательства</t>
  </si>
  <si>
    <t>4033, Обязательства по привилигированным акциям</t>
  </si>
  <si>
    <t>4035, Отсроченный доход</t>
  </si>
  <si>
    <t>4200, Долгосрочные оценочные обязательства</t>
  </si>
  <si>
    <t>4230, Долгосрочные оценочные обязательства по вознаграждениям работникам</t>
  </si>
  <si>
    <t>4300, Отложенные налоговые обязательства</t>
  </si>
  <si>
    <t>4310, Отложенные налоговые обязательства по корпоративному подоходному налогу</t>
  </si>
  <si>
    <t>5000, Уставный капитал</t>
  </si>
  <si>
    <t>5010, Привилегированные акции</t>
  </si>
  <si>
    <t>5020, Простые акции</t>
  </si>
  <si>
    <t>5200, Выкупленные собственные долевые инструменты</t>
  </si>
  <si>
    <t>5210, Выкупленные собственные долевые инструменты</t>
  </si>
  <si>
    <t>5400, Резервы</t>
  </si>
  <si>
    <t>5410, Резервный капитал установленный учредительными документами</t>
  </si>
  <si>
    <t>5500, Нераспределенная прибыль непокрытый убыток</t>
  </si>
  <si>
    <t>5510, Нераспределенная прибыль непокрытый убыток отчетного года</t>
  </si>
  <si>
    <t>5600, Итоговая прибыль итоговый убыток</t>
  </si>
  <si>
    <t>5610, Итоговая прибыль итоговый убыток</t>
  </si>
  <si>
    <t>6000, Доход от реализации продукции и оказания услуг</t>
  </si>
  <si>
    <t>6010, Доход от реализации продукции и оказания услуг</t>
  </si>
  <si>
    <t>6012, Доход от реализации услуг</t>
  </si>
  <si>
    <t>6200, Прочие доходы</t>
  </si>
  <si>
    <t>6280, Прочие доходы</t>
  </si>
  <si>
    <t>7100, Расходы по реализации продукции и оказанию услуг</t>
  </si>
  <si>
    <t>7110, Расходы по реализации продукции и оказанию услуг</t>
  </si>
  <si>
    <t>7200, Административные расходы</t>
  </si>
  <si>
    <t>7210, Административные расходы</t>
  </si>
  <si>
    <t>7211, Административные расходы, идущие на вычет по КПН</t>
  </si>
  <si>
    <t>7212, Административные расходы, не идущие на вычет по КПН</t>
  </si>
  <si>
    <t>7300, Расходы на финансирование</t>
  </si>
  <si>
    <t>7310, Расходы по вознаграждениям</t>
  </si>
  <si>
    <t>7313, Амортизация скидок и премий, связанных с займами, векселями и облигациями</t>
  </si>
  <si>
    <t>7340, Прочие расходы на финансирование</t>
  </si>
  <si>
    <t>7400, Прочие расходы</t>
  </si>
  <si>
    <t>7410, Расходы по выбытию активов</t>
  </si>
  <si>
    <t>7412, Расходы по выбытию основных средств</t>
  </si>
  <si>
    <t>7700, Расходы по корпоративному подоходному налогу</t>
  </si>
  <si>
    <t>7710, Расходы по корпоративному подоходному налогу</t>
  </si>
  <si>
    <t>7712, Текущее налоговое обязательство по корпоративному подоходному налогу</t>
  </si>
  <si>
    <t>8100, Основное производство</t>
  </si>
  <si>
    <t>8110, Основное производство</t>
  </si>
  <si>
    <t>8111, Основное производство (МОЛ)</t>
  </si>
  <si>
    <t>8112, Основное производство (над)</t>
  </si>
  <si>
    <t>8300, Вспомогательные производства</t>
  </si>
  <si>
    <t>8310, Вспомогательные производства</t>
  </si>
  <si>
    <t>8400, Накладные расходы</t>
  </si>
  <si>
    <t>8410, Накладные расходы</t>
  </si>
  <si>
    <t>8420, Ремонт основных средств, выполненный собственными силами</t>
  </si>
  <si>
    <t>8421, Текущий ремонт ВЛ и ПС</t>
  </si>
  <si>
    <t>8423, Текущий ремонт автотранспорта</t>
  </si>
  <si>
    <t>8424, Капитальный ремонт ВЛ и ПС</t>
  </si>
  <si>
    <t>3385, Прочие краткосрочные начисленные вознаграждения</t>
  </si>
  <si>
    <t>3431, Краткосрочные оценочные обязательства по вознаграждениям работникам</t>
  </si>
  <si>
    <t>1291, Резерв по сомнительным требованиям по краткосрочной дебиторской задолженности покупателей и заказчиков</t>
  </si>
  <si>
    <t>1294, Резерв по сомнительным требованиям по прочим краткосрочным активам (по авансам выданным)</t>
  </si>
  <si>
    <t>3041, Текущая часть долгосрочных займов</t>
  </si>
  <si>
    <t>5300, Эмиссионный доход</t>
  </si>
  <si>
    <t>5310, Эмиссионный доход</t>
  </si>
  <si>
    <t>5520, Нераспределенная прибыль непокрытый убыток предыдущих лет</t>
  </si>
  <si>
    <t>1282, Задолженность по претензиям</t>
  </si>
  <si>
    <t>Счет</t>
  </si>
  <si>
    <t>Контрагенты</t>
  </si>
  <si>
    <t>АО "Инвестиционный финансовый дом "RESMI"</t>
  </si>
  <si>
    <t>АО "ИФД Resmi</t>
  </si>
  <si>
    <t>АО "САМРУК -ЭНЕРГО"</t>
  </si>
  <si>
    <t>Ответственный:</t>
  </si>
  <si>
    <t>(должность)</t>
  </si>
  <si>
    <t>(подпись)</t>
  </si>
  <si>
    <t>(расшифровка подписи)</t>
  </si>
  <si>
    <t>6100, Доходы от финансирования</t>
  </si>
  <si>
    <t>6110, Доходы по вознаграждениям</t>
  </si>
  <si>
    <t>6111, Доходы по вознаграждениям - Вознаграждение (купон) по договору</t>
  </si>
  <si>
    <t>Сальдо на 31декабря  2013 г.</t>
  </si>
  <si>
    <t xml:space="preserve">Сальдо на 1 января 2014 года  </t>
  </si>
  <si>
    <t>Оборотно-сальдовая ведомость за Январь 2014 г. - Июнь 2014 г.</t>
  </si>
  <si>
    <t>1050, Денежные средства на сберегательных счетах</t>
  </si>
  <si>
    <t>1051, Денежные средства на сберегательных счетах (до 3-х месяцев)</t>
  </si>
  <si>
    <t>1270, Краткосрочные вознаграждения к получению</t>
  </si>
  <si>
    <t>1276, Краткосрочные начисленные вознаграждения по депозитам</t>
  </si>
  <si>
    <t>6250, Доходы от курсовой разницы</t>
  </si>
  <si>
    <t>7440, Расходы по созданию резерва и списанию безнадежных требований</t>
  </si>
  <si>
    <t>7470, Прочие расходы</t>
  </si>
  <si>
    <t>7711, Отсроченное налоговое обязательство по корпоративному подоходному налогу</t>
  </si>
  <si>
    <t>Наименование Компании: аО МРЭК</t>
  </si>
  <si>
    <t>Период, за который составляется отчетность (с нарастающим итогом): 30 июня 2014г.</t>
  </si>
  <si>
    <t>Ф3. Отчет о движении денежных средств за период (прямой метод) и сверка операционной деятельности по косвенному методу</t>
  </si>
  <si>
    <t xml:space="preserve">  в тысячах казахстанских тенге </t>
  </si>
  <si>
    <t>Отчетный период</t>
  </si>
  <si>
    <t>Внутригрупповые</t>
  </si>
  <si>
    <t>АО "ФНБ "Самрук-Казына"</t>
  </si>
  <si>
    <t>АО НК "КазМунайГаз"</t>
  </si>
  <si>
    <t>АО "НК "КТЖ"</t>
  </si>
  <si>
    <t>АО "Казахтелеком"</t>
  </si>
  <si>
    <t>АО "KEGOC"</t>
  </si>
  <si>
    <t>АО «Национальная атомная компания «Казатомпром»</t>
  </si>
  <si>
    <t>АО "Казпочта"</t>
  </si>
  <si>
    <t>АО «НК «Казахстан Инжиниринг»</t>
  </si>
  <si>
    <t>АО «Аэропорт Павлодар»</t>
  </si>
  <si>
    <t>АО «Международный аэропорт Актобе»</t>
  </si>
  <si>
    <t>АО «КазНИИ энергетики имени ак. Ш.Ч. Чокина"</t>
  </si>
  <si>
    <t>АО «КОРЭМ»</t>
  </si>
  <si>
    <t>АО «Эйр Астана»</t>
  </si>
  <si>
    <t>АО «Самрук - Энерго"</t>
  </si>
  <si>
    <t>ТОО "Самрук-Қазына Инвест"</t>
  </si>
  <si>
    <t>ТОО "Самрук-Казына Контракт"</t>
  </si>
  <si>
    <t>ТОО "СК-Фармация"</t>
  </si>
  <si>
    <t>ТОО "Объединенная химическая компания"</t>
  </si>
  <si>
    <t>АО "НГК "Таукен Самрук"</t>
  </si>
  <si>
    <t>АО "Международный аэропорт Атырау"</t>
  </si>
  <si>
    <t>ТОО "Карагандагипрошахт и К"</t>
  </si>
  <si>
    <t>АО «Досжан темир жолы (ДТЖ)»</t>
  </si>
  <si>
    <t>АО "Банк развития Казахстана"</t>
  </si>
  <si>
    <t>АО "Инвестиционный фонд Казахстана"</t>
  </si>
  <si>
    <t>АО "Фонд развития предпринимательства "Даму"</t>
  </si>
  <si>
    <t>АО «Экспортно-кредитная страховая корпорация  «КазЭкспортГар</t>
  </si>
  <si>
    <t>АО "Kazyna Capital Management"</t>
  </si>
  <si>
    <t>АО "Фонд недвижимости Самрук-Казына"</t>
  </si>
  <si>
    <t>АО "БТА Банк"</t>
  </si>
  <si>
    <t>АО "Альянс Банк"</t>
  </si>
  <si>
    <t>АО "Темiрбанк"</t>
  </si>
  <si>
    <t>KGF SLP</t>
  </si>
  <si>
    <t>KGF Management</t>
  </si>
  <si>
    <t>KGF IM</t>
  </si>
  <si>
    <t>ТОО "Казахстанский центр содействия инвестициям "Казинвест"</t>
  </si>
  <si>
    <t>АО «Жилстройсбербанк Казахстана»</t>
  </si>
  <si>
    <t>АО "Казахстанский фонд гарантирования ипотечных кредитов"</t>
  </si>
  <si>
    <t>ТОО "Ремонтная корпорация"Камкор"</t>
  </si>
  <si>
    <t>АО "Национальный инновационный фонд"</t>
  </si>
  <si>
    <t>Дочерняя организация Фонда - прочие</t>
  </si>
  <si>
    <t>Внешние - резиденты РК</t>
  </si>
  <si>
    <t>Внешние - нерезиденты РК</t>
  </si>
  <si>
    <t>1. Движение денежных средств по операционной деятельности</t>
  </si>
  <si>
    <t>1.1. Поступление денежных средств, всего</t>
  </si>
  <si>
    <t>реализация продукции и товаров</t>
  </si>
  <si>
    <t>реализация услуг</t>
  </si>
  <si>
    <t>авансы полученные</t>
  </si>
  <si>
    <t>дивиденды</t>
  </si>
  <si>
    <t>полученные вознаграждения (проценты)</t>
  </si>
  <si>
    <r>
      <t xml:space="preserve">Полученные вознаграждения по  займам выданным, </t>
    </r>
    <r>
      <rPr>
        <b/>
        <i/>
        <sz val="8"/>
        <rFont val="Arial"/>
        <family val="2"/>
      </rPr>
      <t xml:space="preserve">КРОМЕ </t>
    </r>
    <r>
      <rPr>
        <i/>
        <sz val="8"/>
        <rFont val="Arial"/>
        <family val="2"/>
      </rPr>
      <t>дебиторской задолженности по финансовой аренде)</t>
    </r>
  </si>
  <si>
    <t>Полученные вознаграждения по  займам выданным в части дебиторской задолженности по финансовой аренде</t>
  </si>
  <si>
    <t>Полученные вознаграждения по средствам в кредитных учреждениях</t>
  </si>
  <si>
    <t>Полученные вознаграждения по денежным средствам)</t>
  </si>
  <si>
    <t>Полученные вознаграждения по финансовым активам (долговым ценным бумагам)</t>
  </si>
  <si>
    <t>поступления по операциям с финансовыми активами и обязательствами (для финансовых организаций):</t>
  </si>
  <si>
    <t>Погашение краткосрочных займов выданных</t>
  </si>
  <si>
    <t>Погашение долгосрочных займов выданных</t>
  </si>
  <si>
    <t>Погашение средств кредитных учреждений</t>
  </si>
  <si>
    <t>Погашение финансовых активов (долговых ценных бумаг)</t>
  </si>
  <si>
    <t xml:space="preserve">Погашение дебиторской задолженности по финансовой аренде </t>
  </si>
  <si>
    <t>Поступления по средствам клиентов</t>
  </si>
  <si>
    <t xml:space="preserve">Поступления по краткосрочным займам полученным </t>
  </si>
  <si>
    <t xml:space="preserve">Поступления по долгосрочным займам полученным </t>
  </si>
  <si>
    <t>Поступления по выпущенным долговым ценным бумагам (облигациям)</t>
  </si>
  <si>
    <t>Поступления по Займам из Республиканского бюджета РК</t>
  </si>
  <si>
    <t>Поступления по Займам из Национального фонда РК</t>
  </si>
  <si>
    <t>Поступления по Займам, предоставленным Национальным Банком РК</t>
  </si>
  <si>
    <t>Поступления по Займам, предоставленным Национальными Банками других государств</t>
  </si>
  <si>
    <t>поступления по операциям с иностранной валютой</t>
  </si>
  <si>
    <t>поступления по договорам страхования (для страховых организаций)</t>
  </si>
  <si>
    <t>1.2. Выбытие денежных средств, всего</t>
  </si>
  <si>
    <t>авансы выданные</t>
  </si>
  <si>
    <t>выплаты по заработной плате</t>
  </si>
  <si>
    <t>выплата вознаграждения (процентов)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</si>
  <si>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</si>
  <si>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</si>
  <si>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Выплата вознаграждения по Займам из Республиканского бюджета РК</t>
  </si>
  <si>
    <t>Выплата вознаграждения по Займам из Национального фонда РК</t>
  </si>
  <si>
    <t>Выплата вознаграждения по Займам, предоставленные Национальным Банком РК</t>
  </si>
  <si>
    <t>Выплата вознаграждения по Займам, предоставленным Национальными Банками других государств</t>
  </si>
  <si>
    <t>Выплата вознаграждения по средствам клиентов</t>
  </si>
  <si>
    <t>Выплата вознаграждения по обязательствам по финансовой аренде</t>
  </si>
  <si>
    <t>корпоративный подоходный налог</t>
  </si>
  <si>
    <t>другие платежи в бюджет</t>
  </si>
  <si>
    <t>выбытия по операциям с финансовыми активами и обязательствами (для финансовых организаций):</t>
  </si>
  <si>
    <t>Предоставление краткосрочных займов выданных</t>
  </si>
  <si>
    <t>Предоставление долгосрочных займов выданных</t>
  </si>
  <si>
    <t>Размещение средств в кредитных учреждениях</t>
  </si>
  <si>
    <t>Размещение средств в финансовые активы (долговые ценные бумаги)</t>
  </si>
  <si>
    <t>Выплата основного долга по средствам клиентов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</si>
  <si>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</si>
  <si>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</si>
  <si>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Займам из Республиканского бюджета РК</t>
  </si>
  <si>
    <t>Выплата основного долга по Займам из Национального фонда РК</t>
  </si>
  <si>
    <t>Выплата основного долга по Займам, предоставленным Национальным Банком РК</t>
  </si>
  <si>
    <t>Выплата основного долга по Займам, предоставленным Национальными Банками других государств</t>
  </si>
  <si>
    <t>Выплата основного долга по выпущенным долговым ценным бумагам (облигациям)</t>
  </si>
  <si>
    <t>выплаты по операциям с иностранной валютой</t>
  </si>
  <si>
    <t>выплаты по договорам страхования  (для страховых организаций)</t>
  </si>
  <si>
    <t xml:space="preserve">2. Движение денежных средств по инвестиционной деятельности </t>
  </si>
  <si>
    <t>2.1. Поступление денежных средств, всего</t>
  </si>
  <si>
    <t xml:space="preserve">Поступления от продажи основных средств </t>
  </si>
  <si>
    <t>Поступления от продажи нематериальных активов</t>
  </si>
  <si>
    <t>Поступления от продажи других долгосрочных активов</t>
  </si>
  <si>
    <t>Поступления от продажи дочерних организаций</t>
  </si>
  <si>
    <t>Поступления от продажи долей участия в ассоциированных организациях</t>
  </si>
  <si>
    <t>Поступления от продажи долей участия в совместном предпринимательстве</t>
  </si>
  <si>
    <t>Поступления от реализации прочих долевых инструментов (для реального сектора)</t>
  </si>
  <si>
    <t>Поступления от реализации долговых инструментов (для реального сектора)</t>
  </si>
  <si>
    <t>Возврат банковских вкладов</t>
  </si>
  <si>
    <t>Поступления по фьючерсным и форвардным контрактам, опционам и свопам</t>
  </si>
  <si>
    <t>Дивиденды и прочие выплаты от дочерних компаний</t>
  </si>
  <si>
    <t>Дивиденды и прочие выплаты от ассоциированных компаний</t>
  </si>
  <si>
    <t xml:space="preserve">Дивиденды и прочие выплаты от совместно-контролируемых организаций </t>
  </si>
  <si>
    <t>Погашение краткосрочных займов выданных (для реального сектора)</t>
  </si>
  <si>
    <t>Погашение долгосрочных займов выданных (для реального сектора)</t>
  </si>
  <si>
    <t>Поступления от погашения долговых инструментов эмитентами (для реального сектора)</t>
  </si>
  <si>
    <t>Прочие поступления</t>
  </si>
  <si>
    <t>2.2. Выбытие денежных средств, всего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</si>
  <si>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</si>
  <si>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</si>
  <si>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</si>
  <si>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>Приобретение дочерних организаций</t>
  </si>
  <si>
    <t>Приобретение долей участия в ассоциированных организациях</t>
  </si>
  <si>
    <t>Приобретение долей участия в совместном предпринимательстве</t>
  </si>
  <si>
    <t>Приобретение прочих долевых инструментов (для реального сектора)</t>
  </si>
  <si>
    <t>Приобретение долговых инструментов (для реального сектора)</t>
  </si>
  <si>
    <t>Размещение банковских вкладов</t>
  </si>
  <si>
    <t>Выбытия по фьючерсным и форвардным контрактам, опционам и свопам</t>
  </si>
  <si>
    <t>Предоставление краткосрочных займов выданных (для реального сектора)</t>
  </si>
  <si>
    <t>Предоставление долгосрочных займов выданных (для реального сектора)</t>
  </si>
  <si>
    <t>Прочие выплаты</t>
  </si>
  <si>
    <t xml:space="preserve">3. Движение денежных средств по финансовой деятельности </t>
  </si>
  <si>
    <t>3.1. Поступление денежных средств, всего</t>
  </si>
  <si>
    <t>Поступления от выпуска акций и взносы в уставный капитал, в том числе:</t>
  </si>
  <si>
    <t>размещение акций на фондовых рынках контролирующим собственникам</t>
  </si>
  <si>
    <t>взносы контролирующих собственников за счет Республиканского бюджета</t>
  </si>
  <si>
    <t>прочие взносы контролирующих собственников</t>
  </si>
  <si>
    <t>размещение акций на фондовых рынках НЕконтролирующим собственникам</t>
  </si>
  <si>
    <t>прочие взносы НЕконтролирующих собственников</t>
  </si>
  <si>
    <t>Поступления от выпуска акций дочерних организаций, в том числе:</t>
  </si>
  <si>
    <t>Поступления по краткосрочным займам полученным</t>
  </si>
  <si>
    <t>Поступления по долгосрочным займам полученным</t>
  </si>
  <si>
    <t>Продажа собственных акций (не первичное размещение)</t>
  </si>
  <si>
    <t xml:space="preserve">Прочие поступления </t>
  </si>
  <si>
    <t>3.2. Выбытие денежных средств, всего</t>
  </si>
  <si>
    <t>Приобретение собственных акций</t>
  </si>
  <si>
    <t xml:space="preserve">Выплата основного долга по обязательствам по финансовой аренде </t>
  </si>
  <si>
    <t>Дивиденды, выплаченные:</t>
  </si>
  <si>
    <t xml:space="preserve"> - акционерам материнской компании</t>
  </si>
  <si>
    <t xml:space="preserve"> - неконтролирующим собственникам</t>
  </si>
  <si>
    <t>Прочие выплаты:</t>
  </si>
  <si>
    <t xml:space="preserve">Прочие выплаты </t>
  </si>
  <si>
    <t xml:space="preserve">Влияние изменений обменного курса на сальдо денежных средств в иностранной валюте </t>
  </si>
  <si>
    <t xml:space="preserve">4. Чистое изменение денежных средств и их эквивалентов </t>
  </si>
  <si>
    <t>Денежные средства и их эквиваленты на начало периода</t>
  </si>
  <si>
    <t>Денежные средства и их эквиваленты на конец периода</t>
  </si>
  <si>
    <t>Контроль</t>
  </si>
  <si>
    <t>Внутри РК</t>
  </si>
  <si>
    <t>За пределами РК</t>
  </si>
  <si>
    <t>КЦ Фонда</t>
  </si>
  <si>
    <t xml:space="preserve">1. Движение денежных средств по операционной деятельности </t>
  </si>
  <si>
    <t>Доход/(убыток) до налогообложения</t>
  </si>
  <si>
    <t>контроль</t>
  </si>
  <si>
    <t>Корректировки:</t>
  </si>
  <si>
    <t>+Износ и амортизация</t>
  </si>
  <si>
    <t>+Финансовые затраты</t>
  </si>
  <si>
    <t>-Финансовый доход</t>
  </si>
  <si>
    <t>+/- доля в доходах/убытках организаций, учитываемых по методу долевого участия</t>
  </si>
  <si>
    <t>+/- изменения в резервах</t>
  </si>
  <si>
    <t>+Расходы по обесценению активов</t>
  </si>
  <si>
    <t xml:space="preserve"> +/-Прочие корректировки</t>
  </si>
  <si>
    <t>Движение денежных средств по операционной деятельности до изменений в оборотном капитале</t>
  </si>
  <si>
    <t>Изменения в оборотном капитале (операционных активах)</t>
  </si>
  <si>
    <t>+/-Изменение торговой дебиторской задолженности</t>
  </si>
  <si>
    <t>+/-Изменение товарно-материальных запасов</t>
  </si>
  <si>
    <t>+/-Изменение займов выданных (для финансовых институтов)</t>
  </si>
  <si>
    <t>+/-Средства в кредитных учреждениях (для финансовых институтов)</t>
  </si>
  <si>
    <t>-/+Изменение прочих текущих активов</t>
  </si>
  <si>
    <t>+/-Изменение торговой кредиторской задолженности</t>
  </si>
  <si>
    <t>+/-Изменение займов полученных  (для финансовых институтов)</t>
  </si>
  <si>
    <t>+/-Изменение привлеченных средств клиентов (для финансовых институтов)</t>
  </si>
  <si>
    <t>-/+Изменение прочих текущих обязательств</t>
  </si>
  <si>
    <t>+/-Изменение прочих долгосрочных активов</t>
  </si>
  <si>
    <t xml:space="preserve">Движение денежных средств по операционной деятельности  </t>
  </si>
  <si>
    <t>(Подоходный налог уплаченный)</t>
  </si>
  <si>
    <t>(Вознаграждение уплаченное)</t>
  </si>
  <si>
    <t>Вознаграждение полученное</t>
  </si>
  <si>
    <t>Дивиденды полученные</t>
  </si>
  <si>
    <t>Чистое поступление денежных средств по операционной деятельности</t>
  </si>
  <si>
    <t>Оборотно-сальдовая ведомость по счету 2184 за Январь 2014 г. - Июнь 2014 г.</t>
  </si>
  <si>
    <t>Оборотно-сальдовая ведомость за Январь 2014 г. - Июль 2014 г.</t>
  </si>
  <si>
    <t>2910, Долгосрочные авансы выданные</t>
  </si>
  <si>
    <t>3311, Счета к оплате</t>
  </si>
  <si>
    <t xml:space="preserve">                                                   на «31» июля 2014 года</t>
  </si>
  <si>
    <t>Отчет об изменениях в собственном капитале по состоянию на 31.07.2014г</t>
  </si>
  <si>
    <t xml:space="preserve">   по состоянию на «31»июля2014 года</t>
  </si>
  <si>
    <t xml:space="preserve">          по состоянию на «31»июля  2014 года</t>
  </si>
  <si>
    <t xml:space="preserve">     Расчет     прибыли                                        </t>
  </si>
  <si>
    <t>с начало года</t>
  </si>
  <si>
    <t>С начало года (без переоценки)в тыс.тенге</t>
  </si>
  <si>
    <t>01.04.2014  МСФО</t>
  </si>
  <si>
    <t>01.04.2014  безпереоценки</t>
  </si>
  <si>
    <t>с начало года за 4 месяца</t>
  </si>
  <si>
    <t>С начало года за 4 месяца(без переоценки)в тыс.тенге</t>
  </si>
  <si>
    <t>01.05.2014МСФО</t>
  </si>
  <si>
    <t>С начало года (с переоценкой)в тыс.тенге</t>
  </si>
  <si>
    <t>01.05.2014 без переоценки</t>
  </si>
  <si>
    <t>С начало года за 5месяца(без переоценки)в тыс.тенге</t>
  </si>
  <si>
    <t>30.06.2014МСФО</t>
  </si>
  <si>
    <t>30.06.2014 без переоценки</t>
  </si>
  <si>
    <t>С начало года за 6месяца(без переоценки)в тыс.тенге</t>
  </si>
  <si>
    <t>31.07.2014МСФО</t>
  </si>
  <si>
    <t>31.07.2014 без переоценки</t>
  </si>
  <si>
    <t>Реализация э/нергии</t>
  </si>
  <si>
    <t>Себестоимость реализ. э/э</t>
  </si>
  <si>
    <t>Валовый доход (убыток)</t>
  </si>
  <si>
    <t>Расходы периода (всего)</t>
  </si>
  <si>
    <t>Общие и админстр,расходы</t>
  </si>
  <si>
    <t>Расходы периода за счет прибыли</t>
  </si>
  <si>
    <t>Расходы в виде вознаграждения</t>
  </si>
  <si>
    <t>Резерв по устаревшим тмз</t>
  </si>
  <si>
    <t>Резерв по отпускам</t>
  </si>
  <si>
    <t>Актуарные расчеты</t>
  </si>
  <si>
    <t>Доход от основной деятельности</t>
  </si>
  <si>
    <t>Прочая прибыль:</t>
  </si>
  <si>
    <t>за техобслуживание</t>
  </si>
  <si>
    <t>за подключение</t>
  </si>
  <si>
    <t>доходы в виде вознаграждении</t>
  </si>
  <si>
    <t>доход от курсовой разницы</t>
  </si>
  <si>
    <t>списание кт зад/ти(возврат госпошл)</t>
  </si>
  <si>
    <t>признание отсроченного дохода</t>
  </si>
  <si>
    <t>доход от реализац. списания тмз, ОС</t>
  </si>
  <si>
    <t>доход от пении,штрафа</t>
  </si>
  <si>
    <t xml:space="preserve">прочие доходы </t>
  </si>
  <si>
    <t>вознаграждения по депозиту</t>
  </si>
  <si>
    <t>ИТОГО</t>
  </si>
  <si>
    <t>Прочие убытки</t>
  </si>
  <si>
    <t>штраф,пеня в бюджет,госпошлина</t>
  </si>
  <si>
    <t>расходы по курсовой разнице</t>
  </si>
  <si>
    <t>расходы по реализации ОС/выбытия ОС</t>
  </si>
  <si>
    <t>Прочие расходы (списание неликвидных мат.в)</t>
  </si>
  <si>
    <t xml:space="preserve">Доход (убыток) от обычной </t>
  </si>
  <si>
    <t>деятельности до налогооблажения</t>
  </si>
  <si>
    <t>отсроченный налог</t>
  </si>
  <si>
    <t>списание дисконта по ПДМ</t>
  </si>
  <si>
    <t>Корпоративный п/н</t>
  </si>
  <si>
    <t>дивиденды по привелиг.акц</t>
  </si>
  <si>
    <t>Чистый доход</t>
  </si>
  <si>
    <t>убыток</t>
  </si>
  <si>
    <t>Оборотно-сальдовая ведомость за Январь 2014 г. - Август 2014 г.</t>
  </si>
  <si>
    <t>2912, Долгосрочные авансы выданные под приобретение ОС</t>
  </si>
  <si>
    <t>АО "BCC INVEST" ДО АО "БАНК ЦЕНТРКРЕДИТ"</t>
  </si>
  <si>
    <t xml:space="preserve">          по состоянию на «31»августа 2014 года</t>
  </si>
  <si>
    <t>С начало года за 7месяца(без переоценки)в тыс.тенге</t>
  </si>
  <si>
    <t>31.08.2014МСФО</t>
  </si>
  <si>
    <t>31.08.2014 без переоценки</t>
  </si>
  <si>
    <t>С начало года за 8месяца(без переоценки)в тыс.тенге</t>
  </si>
  <si>
    <t xml:space="preserve">доход от  безвозмездного оприходовании ОС, от восстановление и обесценение тмз </t>
  </si>
  <si>
    <t xml:space="preserve">   по состоянию на «31»августа 2014 года</t>
  </si>
  <si>
    <t>Отчет об изменениях в собственном капитале по состоянию на 31.08.2014г</t>
  </si>
  <si>
    <t xml:space="preserve">                                                   на «31» августа 2014 года</t>
  </si>
  <si>
    <t>Анализ счета 3510 за Январь 2014 г. - Август 2014 г.</t>
  </si>
  <si>
    <t>Кор. Счет</t>
  </si>
  <si>
    <t>Начальное сальдо</t>
  </si>
  <si>
    <t>Оборот</t>
  </si>
  <si>
    <t>Конечное сальдо</t>
  </si>
  <si>
    <t>Оборотно-сальдовая ведомость за Январь 2014 г. - Сентябрь 2014 г.</t>
  </si>
  <si>
    <t>7311, Вознаграждения по банковским овердрафтам и краткосрочным и долгосрочным займам</t>
  </si>
  <si>
    <t xml:space="preserve">          по состоянию на «30»сентября 2014 года</t>
  </si>
  <si>
    <t xml:space="preserve">   по состоянию на «30»сентября 2014 года</t>
  </si>
  <si>
    <t xml:space="preserve">                                                   на «30» сентября 2014 года</t>
  </si>
  <si>
    <t>Отчет об изменениях в собственном капитале по состоянию на 31.09.2014г</t>
  </si>
  <si>
    <t>30.09.2014МСФО</t>
  </si>
  <si>
    <t>30.09.2014 без переоценки</t>
  </si>
  <si>
    <t>С начало года за 9месяца(без переоценки)в тыс.тенге</t>
  </si>
  <si>
    <t>31.10.2014МСФО</t>
  </si>
  <si>
    <t>31.10.2014 без переоценки</t>
  </si>
  <si>
    <t>С начало года за 10месяцев(без переоценки)в тыс.тенге</t>
  </si>
  <si>
    <t>31.11.2014МСФО</t>
  </si>
  <si>
    <t>С начало года (с переоценкой) в тенге</t>
  </si>
  <si>
    <t>31.11.2014 без переоценки в тыс.тенге</t>
  </si>
  <si>
    <t>С начало года за 11месяцев(без переоценки)в тыс.тенге</t>
  </si>
  <si>
    <t>финдохлд от инвест деятельности</t>
  </si>
  <si>
    <t>Оборотно-сальдовая ведомость за Январь 2014 г. - Ноябрь 2014 г.</t>
  </si>
  <si>
    <t>1060, Прочие денежные средства</t>
  </si>
  <si>
    <t>1100, Краткосрочные финансовые инвестиции</t>
  </si>
  <si>
    <t>1140, Краткосрочные финансовые инвестиции, имеющиеся в наличие для продажи</t>
  </si>
  <si>
    <t xml:space="preserve">          по состоянию на «30»ноября 2014 года</t>
  </si>
  <si>
    <t xml:space="preserve">   по состоянию на «30»ноября 2014 года</t>
  </si>
  <si>
    <t>Отчет об изменениях в собственном капитале по состоянию на 30.11.2014г</t>
  </si>
  <si>
    <t>Оборотно-сальдовая ведомость за 2014 г.</t>
  </si>
  <si>
    <t>1022, Денежные средства в пути конвертация валюты</t>
  </si>
  <si>
    <t>1630, Прочие краткосрочные активы</t>
  </si>
  <si>
    <t>7430, Расходы по курсовой разнице</t>
  </si>
  <si>
    <t>7431, Отрицательная курсовая разница</t>
  </si>
  <si>
    <t xml:space="preserve">          по состоянию на «31»декабря 2014 года</t>
  </si>
  <si>
    <t xml:space="preserve">   по состоянию на «31» декабря 2014 года</t>
  </si>
  <si>
    <t>31.12.2014МСФО</t>
  </si>
  <si>
    <t>31.12.2014 без переоценки в тыс.тенге</t>
  </si>
  <si>
    <t>С начало года за 12месяцев(без переоценки)в тыс.тенге</t>
  </si>
  <si>
    <t xml:space="preserve">                                                   на «31»декабря 2014 года</t>
  </si>
  <si>
    <t>Отчет об изменениях в собственном капитале по состоянию на 31.12.2014г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</si>
</sst>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-* #,##0_р_._-;\-* #,##0_р_._-;_-* &quot;-&quot;??_р_._-;_-@_-"/>
    <numFmt numFmtId="180" formatCode="0.00;[Red]\-0.00"/>
    <numFmt numFmtId="181" formatCode="#,##0_р_."/>
    <numFmt numFmtId="182" formatCode="#,##0.000"/>
    <numFmt numFmtId="183" formatCode="#,##0.0000"/>
    <numFmt numFmtId="184" formatCode="_(* #,##0.00_);_(* \(#,##0.00\);_(* &quot;-&quot;??_);_(@_)"/>
    <numFmt numFmtId="185" formatCode="#,##0.00_ ;[Red]\-#,##0.00\ "/>
    <numFmt numFmtId="186" formatCode="#,##0.0"/>
    <numFmt numFmtId="187" formatCode="0.0000"/>
    <numFmt numFmtId="188" formatCode="0.000"/>
    <numFmt numFmtId="189" formatCode="0.0"/>
    <numFmt numFmtId="190" formatCode="hh:mm:ss"/>
    <numFmt numFmtId="191" formatCode="[$-809]dd\ mmmm\ yyyy"/>
    <numFmt numFmtId="192" formatCode="_(* #,##0_);_(* \(#,##0\);_(* &quot;-&quot;_);_(@_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_-* #,##0.0_р_._-;\-* #,##0.0_р_._-;_-* &quot;-&quot;??_р_._-;_-@_-"/>
    <numFmt numFmtId="198" formatCode="_-* #,##0.000_р_._-;\-* #,##0.000_р_._-;_-* &quot;-&quot;??_р_._-;_-@_-"/>
    <numFmt numFmtId="199" formatCode="#,##0_ ;\-#,##0\ "/>
    <numFmt numFmtId="200" formatCode="#,##0.00;[Red]\-#,##0.00"/>
  </numFmts>
  <fonts count="10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9"/>
      <name val="Arial"/>
      <family val="2"/>
    </font>
    <font>
      <sz val="10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10"/>
      <color indexed="19"/>
      <name val="Arial Cyr"/>
      <family val="0"/>
    </font>
    <font>
      <b/>
      <sz val="9"/>
      <color indexed="1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 Cyr"/>
      <family val="0"/>
    </font>
    <font>
      <sz val="8"/>
      <color indexed="56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 Cyr"/>
      <family val="0"/>
    </font>
    <font>
      <sz val="9"/>
      <color indexed="10"/>
      <name val="Arial Cyr"/>
      <family val="0"/>
    </font>
    <font>
      <i/>
      <sz val="9"/>
      <color indexed="8"/>
      <name val="Arial"/>
      <family val="2"/>
    </font>
    <font>
      <b/>
      <sz val="9"/>
      <name val="Helv"/>
      <family val="0"/>
    </font>
    <font>
      <sz val="9"/>
      <name val="Helv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8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bgColor indexed="9"/>
      </patternFill>
    </fill>
    <fill>
      <patternFill patternType="lightUp"/>
    </fill>
    <fill>
      <patternFill patternType="solid">
        <fgColor rgb="FFFBF9EC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/>
    </border>
    <border>
      <left style="thin">
        <color rgb="FFCCC085"/>
      </left>
      <right/>
      <top style="thin">
        <color rgb="FFCCC085"/>
      </top>
      <bottom style="thin">
        <color rgb="FFCCC085"/>
      </bottom>
    </border>
    <border>
      <left/>
      <right/>
      <top style="thin">
        <color rgb="FFCCC085"/>
      </top>
      <bottom style="thin">
        <color rgb="FFCCC085"/>
      </bottom>
    </border>
    <border>
      <left/>
      <right style="thin">
        <color rgb="FFCCC085"/>
      </right>
      <top style="thin">
        <color rgb="FFCCC085"/>
      </top>
      <bottom style="thin">
        <color rgb="FFCCC085"/>
      </bottom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/>
      <right/>
      <top style="thin">
        <color indexed="60"/>
      </top>
      <bottom style="thin">
        <color indexed="6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2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12" borderId="0" applyNumberFormat="0" applyBorder="0" applyAlignment="0" applyProtection="0"/>
    <xf numFmtId="0" fontId="81" fillId="20" borderId="0" applyNumberFormat="0" applyBorder="0" applyAlignment="0" applyProtection="0"/>
    <xf numFmtId="0" fontId="81" fillId="25" borderId="0" applyNumberFormat="0" applyBorder="0" applyAlignment="0" applyProtection="0"/>
    <xf numFmtId="0" fontId="81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1" applyNumberFormat="0" applyAlignment="0" applyProtection="0"/>
    <xf numFmtId="0" fontId="5" fillId="3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32" borderId="0" applyNumberFormat="0" applyBorder="0" applyAlignment="0" applyProtection="0"/>
    <xf numFmtId="0" fontId="0" fillId="33" borderId="7" applyNumberFormat="0" applyFont="0" applyAlignment="0" applyProtection="0"/>
    <xf numFmtId="0" fontId="14" fillId="3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81" fillId="34" borderId="0" applyNumberFormat="0" applyBorder="0" applyAlignment="0" applyProtection="0"/>
    <xf numFmtId="0" fontId="81" fillId="35" borderId="0" applyNumberFormat="0" applyBorder="0" applyAlignment="0" applyProtection="0"/>
    <xf numFmtId="0" fontId="81" fillId="36" borderId="0" applyNumberFormat="0" applyBorder="0" applyAlignment="0" applyProtection="0"/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2" fillId="40" borderId="10" applyNumberFormat="0" applyAlignment="0" applyProtection="0"/>
    <xf numFmtId="0" fontId="83" fillId="41" borderId="11" applyNumberFormat="0" applyAlignment="0" applyProtection="0"/>
    <xf numFmtId="0" fontId="84" fillId="41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12" applyNumberFormat="0" applyFill="0" applyAlignment="0" applyProtection="0"/>
    <xf numFmtId="0" fontId="86" fillId="0" borderId="13" applyNumberFormat="0" applyFill="0" applyAlignment="0" applyProtection="0"/>
    <xf numFmtId="0" fontId="87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15" applyNumberFormat="0" applyFill="0" applyAlignment="0" applyProtection="0"/>
    <xf numFmtId="0" fontId="89" fillId="42" borderId="16" applyNumberFormat="0" applyAlignment="0" applyProtection="0"/>
    <xf numFmtId="0" fontId="90" fillId="0" borderId="0" applyNumberFormat="0" applyFill="0" applyBorder="0" applyAlignment="0" applyProtection="0"/>
    <xf numFmtId="0" fontId="91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92" fillId="44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94" fillId="0" borderId="18" applyNumberFormat="0" applyFill="0" applyAlignment="0" applyProtection="0"/>
    <xf numFmtId="0" fontId="20" fillId="0" borderId="0">
      <alignment/>
      <protection/>
    </xf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6" fillId="46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justify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center" vertical="top" wrapText="1"/>
    </xf>
    <xf numFmtId="3" fontId="24" fillId="0" borderId="22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24" fillId="47" borderId="22" xfId="0" applyNumberFormat="1" applyFont="1" applyFill="1" applyBorder="1" applyAlignment="1">
      <alignment horizontal="center" vertical="top" wrapText="1"/>
    </xf>
    <xf numFmtId="3" fontId="23" fillId="0" borderId="0" xfId="0" applyNumberFormat="1" applyFont="1" applyAlignment="1">
      <alignment/>
    </xf>
    <xf numFmtId="3" fontId="25" fillId="0" borderId="22" xfId="0" applyNumberFormat="1" applyFont="1" applyBorder="1" applyAlignment="1">
      <alignment horizontal="center" vertical="top" wrapText="1"/>
    </xf>
    <xf numFmtId="3" fontId="26" fillId="0" borderId="22" xfId="0" applyNumberFormat="1" applyFont="1" applyBorder="1" applyAlignment="1">
      <alignment horizontal="center" vertical="top" wrapText="1"/>
    </xf>
    <xf numFmtId="3" fontId="25" fillId="0" borderId="22" xfId="0" applyNumberFormat="1" applyFont="1" applyFill="1" applyBorder="1" applyAlignment="1">
      <alignment horizontal="center" vertical="top" wrapText="1"/>
    </xf>
    <xf numFmtId="0" fontId="0" fillId="0" borderId="0" xfId="95">
      <alignment/>
      <protection/>
    </xf>
    <xf numFmtId="0" fontId="27" fillId="4" borderId="0" xfId="95" applyFont="1" applyFill="1">
      <alignment/>
      <protection/>
    </xf>
    <xf numFmtId="0" fontId="28" fillId="0" borderId="0" xfId="95" applyFont="1">
      <alignment/>
      <protection/>
    </xf>
    <xf numFmtId="0" fontId="28" fillId="0" borderId="0" xfId="95" applyFont="1" applyAlignment="1">
      <alignment horizontal="left"/>
      <protection/>
    </xf>
    <xf numFmtId="0" fontId="29" fillId="48" borderId="0" xfId="95" applyFont="1" applyFill="1" applyAlignment="1">
      <alignment horizontal="left" wrapText="1"/>
      <protection/>
    </xf>
    <xf numFmtId="0" fontId="30" fillId="0" borderId="0" xfId="95" applyFont="1" applyFill="1" applyBorder="1">
      <alignment/>
      <protection/>
    </xf>
    <xf numFmtId="0" fontId="31" fillId="0" borderId="19" xfId="95" applyFont="1" applyFill="1" applyBorder="1" applyAlignment="1">
      <alignment horizontal="center" wrapText="1"/>
      <protection/>
    </xf>
    <xf numFmtId="0" fontId="31" fillId="0" borderId="19" xfId="95" applyFont="1" applyFill="1" applyBorder="1" applyAlignment="1">
      <alignment vertical="top" wrapText="1"/>
      <protection/>
    </xf>
    <xf numFmtId="0" fontId="31" fillId="0" borderId="19" xfId="95" applyFont="1" applyFill="1" applyBorder="1" applyAlignment="1">
      <alignment horizontal="left" wrapText="1" indent="1"/>
      <protection/>
    </xf>
    <xf numFmtId="0" fontId="34" fillId="0" borderId="19" xfId="95" applyFont="1" applyFill="1" applyBorder="1" applyAlignment="1">
      <alignment horizontal="left" wrapText="1"/>
      <protection/>
    </xf>
    <xf numFmtId="0" fontId="31" fillId="0" borderId="19" xfId="95" applyFont="1" applyBorder="1" applyAlignment="1">
      <alignment vertical="top" wrapText="1"/>
      <protection/>
    </xf>
    <xf numFmtId="0" fontId="32" fillId="0" borderId="19" xfId="95" applyFont="1" applyBorder="1" applyAlignment="1">
      <alignment wrapText="1"/>
      <protection/>
    </xf>
    <xf numFmtId="0" fontId="36" fillId="0" borderId="19" xfId="95" applyFont="1" applyBorder="1" applyAlignment="1">
      <alignment wrapText="1"/>
      <protection/>
    </xf>
    <xf numFmtId="0" fontId="31" fillId="0" borderId="19" xfId="95" applyFont="1" applyBorder="1" applyAlignment="1">
      <alignment wrapText="1"/>
      <protection/>
    </xf>
    <xf numFmtId="0" fontId="32" fillId="0" borderId="19" xfId="95" applyFont="1" applyBorder="1" applyAlignment="1">
      <alignment vertical="top" wrapText="1"/>
      <protection/>
    </xf>
    <xf numFmtId="0" fontId="34" fillId="0" borderId="19" xfId="95" applyFont="1" applyBorder="1" applyAlignment="1">
      <alignment wrapText="1"/>
      <protection/>
    </xf>
    <xf numFmtId="0" fontId="37" fillId="0" borderId="0" xfId="95" applyFont="1">
      <alignment/>
      <protection/>
    </xf>
    <xf numFmtId="0" fontId="38" fillId="0" borderId="19" xfId="95" applyFont="1" applyBorder="1" applyAlignment="1">
      <alignment vertical="top" wrapText="1"/>
      <protection/>
    </xf>
    <xf numFmtId="14" fontId="32" fillId="0" borderId="19" xfId="95" applyNumberFormat="1" applyFont="1" applyFill="1" applyBorder="1" applyAlignment="1">
      <alignment horizontal="center" vertical="top" wrapText="1"/>
      <protection/>
    </xf>
    <xf numFmtId="0" fontId="31" fillId="0" borderId="0" xfId="95" applyFont="1" applyBorder="1" applyAlignment="1">
      <alignment vertical="top" wrapText="1"/>
      <protection/>
    </xf>
    <xf numFmtId="14" fontId="32" fillId="0" borderId="0" xfId="95" applyNumberFormat="1" applyFont="1" applyFill="1" applyBorder="1" applyAlignment="1">
      <alignment horizontal="center" vertical="top" wrapText="1"/>
      <protection/>
    </xf>
    <xf numFmtId="179" fontId="35" fillId="0" borderId="0" xfId="114" applyNumberFormat="1" applyFont="1" applyBorder="1" applyAlignment="1">
      <alignment vertical="center" wrapText="1"/>
    </xf>
    <xf numFmtId="179" fontId="35" fillId="47" borderId="0" xfId="114" applyNumberFormat="1" applyFont="1" applyFill="1" applyBorder="1" applyAlignment="1">
      <alignment vertical="center" wrapText="1"/>
    </xf>
    <xf numFmtId="179" fontId="0" fillId="0" borderId="0" xfId="114" applyNumberFormat="1" applyFont="1" applyBorder="1" applyAlignment="1">
      <alignment vertical="center" wrapText="1"/>
    </xf>
    <xf numFmtId="179" fontId="23" fillId="0" borderId="0" xfId="114" applyNumberFormat="1" applyFont="1" applyBorder="1" applyAlignment="1">
      <alignment vertical="center" wrapText="1"/>
    </xf>
    <xf numFmtId="14" fontId="39" fillId="0" borderId="0" xfId="95" applyNumberFormat="1" applyFont="1" applyFill="1" applyBorder="1" applyAlignment="1">
      <alignment horizontal="center" vertical="top" wrapText="1"/>
      <protection/>
    </xf>
    <xf numFmtId="0" fontId="23" fillId="0" borderId="0" xfId="95" applyFont="1">
      <alignment/>
      <protection/>
    </xf>
    <xf numFmtId="0" fontId="0" fillId="0" borderId="0" xfId="95" applyFont="1">
      <alignment/>
      <protection/>
    </xf>
    <xf numFmtId="0" fontId="41" fillId="0" borderId="0" xfId="0" applyFont="1" applyAlignment="1">
      <alignment horizontal="right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vertical="top" wrapText="1"/>
    </xf>
    <xf numFmtId="0" fontId="41" fillId="0" borderId="22" xfId="0" applyFont="1" applyBorder="1" applyAlignment="1">
      <alignment horizontal="center" vertical="top" wrapText="1"/>
    </xf>
    <xf numFmtId="3" fontId="41" fillId="0" borderId="22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26" fillId="0" borderId="22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43" fontId="0" fillId="0" borderId="0" xfId="109" applyFont="1" applyAlignment="1">
      <alignment/>
    </xf>
    <xf numFmtId="178" fontId="23" fillId="0" borderId="0" xfId="0" applyNumberFormat="1" applyFont="1" applyAlignment="1">
      <alignment/>
    </xf>
    <xf numFmtId="179" fontId="46" fillId="0" borderId="19" xfId="114" applyNumberFormat="1" applyFont="1" applyBorder="1" applyAlignment="1">
      <alignment vertical="center" wrapText="1"/>
    </xf>
    <xf numFmtId="179" fontId="45" fillId="0" borderId="19" xfId="114" applyNumberFormat="1" applyFont="1" applyBorder="1" applyAlignment="1">
      <alignment vertical="center" wrapText="1"/>
    </xf>
    <xf numFmtId="179" fontId="47" fillId="0" borderId="19" xfId="114" applyNumberFormat="1" applyFont="1" applyBorder="1" applyAlignment="1">
      <alignment vertical="center" wrapText="1"/>
    </xf>
    <xf numFmtId="179" fontId="44" fillId="0" borderId="19" xfId="114" applyNumberFormat="1" applyFont="1" applyBorder="1" applyAlignment="1">
      <alignment vertical="center" wrapText="1"/>
    </xf>
    <xf numFmtId="179" fontId="47" fillId="0" borderId="19" xfId="114" applyNumberFormat="1" applyFont="1" applyFill="1" applyBorder="1" applyAlignment="1">
      <alignment vertical="center" wrapText="1"/>
    </xf>
    <xf numFmtId="179" fontId="47" fillId="47" borderId="19" xfId="114" applyNumberFormat="1" applyFont="1" applyFill="1" applyBorder="1" applyAlignment="1">
      <alignment vertical="center" wrapText="1"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3" fontId="40" fillId="0" borderId="22" xfId="0" applyNumberFormat="1" applyFont="1" applyBorder="1" applyAlignment="1">
      <alignment horizontal="center"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21" xfId="0" applyFont="1" applyFill="1" applyBorder="1" applyAlignment="1">
      <alignment vertical="top" wrapText="1"/>
    </xf>
    <xf numFmtId="0" fontId="41" fillId="0" borderId="22" xfId="0" applyFont="1" applyFill="1" applyBorder="1" applyAlignment="1">
      <alignment horizontal="center" vertical="top" wrapText="1"/>
    </xf>
    <xf numFmtId="3" fontId="40" fillId="0" borderId="22" xfId="0" applyNumberFormat="1" applyFont="1" applyFill="1" applyBorder="1" applyAlignment="1">
      <alignment horizontal="center" vertical="top" wrapText="1"/>
    </xf>
    <xf numFmtId="3" fontId="37" fillId="0" borderId="23" xfId="100" applyNumberFormat="1" applyFont="1" applyFill="1" applyBorder="1" applyAlignment="1">
      <alignment horizontal="center"/>
      <protection/>
    </xf>
    <xf numFmtId="3" fontId="0" fillId="0" borderId="0" xfId="0" applyNumberFormat="1" applyFont="1" applyAlignment="1">
      <alignment/>
    </xf>
    <xf numFmtId="0" fontId="48" fillId="0" borderId="0" xfId="0" applyFont="1" applyAlignment="1">
      <alignment/>
    </xf>
    <xf numFmtId="3" fontId="22" fillId="0" borderId="22" xfId="0" applyNumberFormat="1" applyFont="1" applyFill="1" applyBorder="1" applyAlignment="1">
      <alignment horizontal="center" vertical="top" wrapText="1"/>
    </xf>
    <xf numFmtId="3" fontId="25" fillId="0" borderId="22" xfId="0" applyNumberFormat="1" applyFont="1" applyFill="1" applyBorder="1" applyAlignment="1">
      <alignment vertical="top" wrapText="1"/>
    </xf>
    <xf numFmtId="3" fontId="49" fillId="0" borderId="23" xfId="100" applyNumberFormat="1" applyFont="1" applyFill="1" applyBorder="1" applyAlignment="1">
      <alignment horizontal="center" wrapText="1"/>
      <protection/>
    </xf>
    <xf numFmtId="3" fontId="49" fillId="0" borderId="23" xfId="111" applyNumberFormat="1" applyFont="1" applyFill="1" applyBorder="1" applyAlignment="1">
      <alignment horizontal="center" vertical="center"/>
    </xf>
    <xf numFmtId="3" fontId="49" fillId="47" borderId="23" xfId="111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vertical="top"/>
    </xf>
    <xf numFmtId="3" fontId="41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49" fillId="0" borderId="0" xfId="111" applyNumberFormat="1" applyFont="1" applyFill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54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3" fillId="0" borderId="0" xfId="0" applyFont="1" applyAlignment="1">
      <alignment/>
    </xf>
    <xf numFmtId="3" fontId="59" fillId="0" borderId="23" xfId="100" applyNumberFormat="1" applyFont="1" applyFill="1" applyBorder="1" applyAlignment="1">
      <alignment horizontal="center" vertical="center" wrapText="1"/>
      <protection/>
    </xf>
    <xf numFmtId="199" fontId="59" fillId="0" borderId="24" xfId="112" applyNumberFormat="1" applyFont="1" applyFill="1" applyBorder="1" applyAlignment="1">
      <alignment horizontal="center" vertical="center"/>
    </xf>
    <xf numFmtId="3" fontId="24" fillId="0" borderId="25" xfId="0" applyNumberFormat="1" applyFont="1" applyFill="1" applyBorder="1" applyAlignment="1">
      <alignment horizontal="center" vertical="top" wrapText="1"/>
    </xf>
    <xf numFmtId="0" fontId="59" fillId="0" borderId="0" xfId="0" applyFont="1" applyAlignment="1">
      <alignment/>
    </xf>
    <xf numFmtId="0" fontId="23" fillId="0" borderId="0" xfId="0" applyFont="1" applyFill="1" applyAlignment="1">
      <alignment/>
    </xf>
    <xf numFmtId="0" fontId="60" fillId="0" borderId="0" xfId="0" applyFont="1" applyFill="1" applyBorder="1" applyAlignment="1">
      <alignment vertical="top" wrapText="1"/>
    </xf>
    <xf numFmtId="0" fontId="24" fillId="0" borderId="26" xfId="0" applyFont="1" applyBorder="1" applyAlignment="1">
      <alignment horizontal="center" vertical="top" wrapText="1"/>
    </xf>
    <xf numFmtId="3" fontId="24" fillId="0" borderId="27" xfId="0" applyNumberFormat="1" applyFont="1" applyFill="1" applyBorder="1" applyAlignment="1">
      <alignment horizontal="center" vertical="top" wrapText="1"/>
    </xf>
    <xf numFmtId="3" fontId="59" fillId="0" borderId="24" xfId="112" applyNumberFormat="1" applyFont="1" applyFill="1" applyBorder="1" applyAlignment="1">
      <alignment horizontal="center" vertical="center"/>
    </xf>
    <xf numFmtId="3" fontId="49" fillId="0" borderId="23" xfId="0" applyNumberFormat="1" applyFont="1" applyBorder="1" applyAlignment="1">
      <alignment horizontal="center"/>
    </xf>
    <xf numFmtId="1" fontId="41" fillId="0" borderId="2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0" fillId="49" borderId="28" xfId="0" applyFont="1" applyFill="1" applyBorder="1" applyAlignment="1">
      <alignment horizontal="center" vertical="center" wrapText="1"/>
    </xf>
    <xf numFmtId="0" fontId="50" fillId="0" borderId="28" xfId="0" applyFont="1" applyBorder="1" applyAlignment="1">
      <alignment horizontal="left" vertical="top" wrapText="1"/>
    </xf>
    <xf numFmtId="4" fontId="50" fillId="0" borderId="28" xfId="0" applyNumberFormat="1" applyFont="1" applyBorder="1" applyAlignment="1">
      <alignment horizontal="right" vertical="top" wrapText="1"/>
    </xf>
    <xf numFmtId="0" fontId="50" fillId="0" borderId="28" xfId="0" applyFont="1" applyBorder="1" applyAlignment="1">
      <alignment horizontal="right" vertical="top" wrapText="1"/>
    </xf>
    <xf numFmtId="0" fontId="55" fillId="0" borderId="28" xfId="0" applyFont="1" applyBorder="1" applyAlignment="1">
      <alignment horizontal="left" vertical="top" wrapText="1" indent="2"/>
    </xf>
    <xf numFmtId="4" fontId="55" fillId="0" borderId="28" xfId="0" applyNumberFormat="1" applyFont="1" applyBorder="1" applyAlignment="1">
      <alignment horizontal="right" vertical="top" wrapText="1"/>
    </xf>
    <xf numFmtId="0" fontId="55" fillId="0" borderId="28" xfId="0" applyFont="1" applyBorder="1" applyAlignment="1">
      <alignment horizontal="right" vertical="top" wrapText="1"/>
    </xf>
    <xf numFmtId="0" fontId="56" fillId="0" borderId="28" xfId="0" applyFont="1" applyBorder="1" applyAlignment="1">
      <alignment horizontal="left" vertical="top" wrapText="1" indent="2"/>
    </xf>
    <xf numFmtId="4" fontId="56" fillId="0" borderId="28" xfId="0" applyNumberFormat="1" applyFont="1" applyBorder="1" applyAlignment="1">
      <alignment horizontal="right" vertical="top" wrapText="1"/>
    </xf>
    <xf numFmtId="0" fontId="56" fillId="0" borderId="28" xfId="0" applyFont="1" applyBorder="1" applyAlignment="1">
      <alignment horizontal="right" vertical="top" wrapText="1"/>
    </xf>
    <xf numFmtId="0" fontId="55" fillId="0" borderId="28" xfId="0" applyFont="1" applyBorder="1" applyAlignment="1">
      <alignment horizontal="left" vertical="top" wrapText="1" indent="4"/>
    </xf>
    <xf numFmtId="2" fontId="55" fillId="0" borderId="28" xfId="0" applyNumberFormat="1" applyFont="1" applyBorder="1" applyAlignment="1">
      <alignment horizontal="right" vertical="top" wrapText="1"/>
    </xf>
    <xf numFmtId="2" fontId="97" fillId="0" borderId="28" xfId="0" applyNumberFormat="1" applyFont="1" applyBorder="1" applyAlignment="1">
      <alignment horizontal="right" vertical="top" wrapText="1"/>
    </xf>
    <xf numFmtId="4" fontId="97" fillId="0" borderId="28" xfId="0" applyNumberFormat="1" applyFont="1" applyBorder="1" applyAlignment="1">
      <alignment horizontal="right" vertical="top" wrapText="1"/>
    </xf>
    <xf numFmtId="0" fontId="56" fillId="0" borderId="28" xfId="0" applyFont="1" applyBorder="1" applyAlignment="1">
      <alignment horizontal="left" vertical="top" wrapText="1" indent="4"/>
    </xf>
    <xf numFmtId="4" fontId="98" fillId="0" borderId="28" xfId="0" applyNumberFormat="1" applyFont="1" applyBorder="1" applyAlignment="1">
      <alignment horizontal="right" vertical="top" wrapText="1"/>
    </xf>
    <xf numFmtId="0" fontId="99" fillId="49" borderId="28" xfId="0" applyFont="1" applyFill="1" applyBorder="1" applyAlignment="1">
      <alignment horizontal="left" vertical="top"/>
    </xf>
    <xf numFmtId="200" fontId="99" fillId="49" borderId="28" xfId="0" applyNumberFormat="1" applyFont="1" applyFill="1" applyBorder="1" applyAlignment="1">
      <alignment horizontal="right" vertical="top" wrapText="1"/>
    </xf>
    <xf numFmtId="4" fontId="50" fillId="0" borderId="29" xfId="97" applyNumberFormat="1" applyFont="1" applyBorder="1" applyAlignment="1">
      <alignment horizontal="right" vertical="top" wrapText="1"/>
      <protection/>
    </xf>
    <xf numFmtId="4" fontId="55" fillId="0" borderId="29" xfId="97" applyNumberFormat="1" applyFont="1" applyBorder="1" applyAlignment="1">
      <alignment horizontal="right" vertical="top" wrapText="1"/>
      <protection/>
    </xf>
    <xf numFmtId="4" fontId="56" fillId="0" borderId="29" xfId="97" applyNumberFormat="1" applyFont="1" applyBorder="1" applyAlignment="1">
      <alignment horizontal="right" vertical="top" wrapText="1"/>
      <protection/>
    </xf>
    <xf numFmtId="0" fontId="56" fillId="0" borderId="29" xfId="97" applyNumberFormat="1" applyFont="1" applyBorder="1" applyAlignment="1">
      <alignment horizontal="right" vertical="top" wrapText="1"/>
      <protection/>
    </xf>
    <xf numFmtId="0" fontId="55" fillId="0" borderId="29" xfId="97" applyNumberFormat="1" applyFont="1" applyBorder="1" applyAlignment="1">
      <alignment horizontal="right" vertical="top" wrapText="1"/>
      <protection/>
    </xf>
    <xf numFmtId="2" fontId="55" fillId="0" borderId="29" xfId="97" applyNumberFormat="1" applyFont="1" applyBorder="1" applyAlignment="1">
      <alignment horizontal="right" vertical="top" wrapText="1"/>
      <protection/>
    </xf>
    <xf numFmtId="4" fontId="57" fillId="0" borderId="29" xfId="97" applyNumberFormat="1" applyFont="1" applyBorder="1" applyAlignment="1">
      <alignment horizontal="right" vertical="top" wrapText="1"/>
      <protection/>
    </xf>
    <xf numFmtId="4" fontId="58" fillId="0" borderId="29" xfId="97" applyNumberFormat="1" applyFont="1" applyBorder="1" applyAlignment="1">
      <alignment horizontal="right" vertical="top" wrapText="1"/>
      <protection/>
    </xf>
    <xf numFmtId="0" fontId="50" fillId="0" borderId="29" xfId="97" applyNumberFormat="1" applyFont="1" applyBorder="1" applyAlignment="1">
      <alignment horizontal="right" vertical="top" wrapText="1"/>
      <protection/>
    </xf>
    <xf numFmtId="0" fontId="53" fillId="0" borderId="0" xfId="0" applyFont="1" applyFill="1" applyBorder="1" applyAlignment="1" applyProtection="1">
      <alignment horizontal="left" indent="1"/>
      <protection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/>
    </xf>
    <xf numFmtId="0" fontId="3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7" fillId="0" borderId="0" xfId="0" applyFont="1" applyFill="1" applyAlignment="1">
      <alignment horizontal="left" indent="1"/>
    </xf>
    <xf numFmtId="0" fontId="3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0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textRotation="90"/>
    </xf>
    <xf numFmtId="0" fontId="0" fillId="0" borderId="23" xfId="0" applyBorder="1" applyAlignment="1">
      <alignment textRotation="90" wrapText="1"/>
    </xf>
    <xf numFmtId="192" fontId="64" fillId="50" borderId="3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textRotation="180"/>
    </xf>
    <xf numFmtId="0" fontId="0" fillId="0" borderId="0" xfId="0" applyAlignment="1">
      <alignment textRotation="180"/>
    </xf>
    <xf numFmtId="0" fontId="50" fillId="47" borderId="23" xfId="0" applyFont="1" applyFill="1" applyBorder="1" applyAlignment="1">
      <alignment horizontal="left" vertical="top" wrapText="1" indent="1"/>
    </xf>
    <xf numFmtId="192" fontId="65" fillId="47" borderId="23" xfId="0" applyNumberFormat="1" applyFont="1" applyFill="1" applyBorder="1" applyAlignment="1">
      <alignment horizontal="center" vertical="center"/>
    </xf>
    <xf numFmtId="192" fontId="65" fillId="0" borderId="23" xfId="0" applyNumberFormat="1" applyFont="1" applyFill="1" applyBorder="1" applyAlignment="1">
      <alignment horizontal="center" vertical="center"/>
    </xf>
    <xf numFmtId="192" fontId="63" fillId="0" borderId="23" xfId="0" applyNumberFormat="1" applyFont="1" applyFill="1" applyBorder="1" applyAlignment="1">
      <alignment horizontal="center" vertical="center" wrapText="1"/>
    </xf>
    <xf numFmtId="192" fontId="63" fillId="0" borderId="23" xfId="0" applyNumberFormat="1" applyFont="1" applyFill="1" applyBorder="1" applyAlignment="1">
      <alignment vertical="center" wrapText="1"/>
    </xf>
    <xf numFmtId="192" fontId="63" fillId="47" borderId="23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5" fillId="47" borderId="23" xfId="0" applyFont="1" applyFill="1" applyBorder="1" applyAlignment="1">
      <alignment horizontal="left" vertical="top" wrapText="1" indent="1"/>
    </xf>
    <xf numFmtId="192" fontId="65" fillId="51" borderId="23" xfId="0" applyNumberFormat="1" applyFont="1" applyFill="1" applyBorder="1" applyAlignment="1">
      <alignment horizontal="center" vertical="center"/>
    </xf>
    <xf numFmtId="192" fontId="65" fillId="0" borderId="23" xfId="0" applyNumberFormat="1" applyFont="1" applyFill="1" applyBorder="1" applyAlignment="1">
      <alignment vertical="center"/>
    </xf>
    <xf numFmtId="1" fontId="55" fillId="0" borderId="0" xfId="0" applyNumberFormat="1" applyFont="1" applyFill="1" applyAlignment="1">
      <alignment/>
    </xf>
    <xf numFmtId="0" fontId="55" fillId="47" borderId="23" xfId="0" applyFont="1" applyFill="1" applyBorder="1" applyAlignment="1">
      <alignment horizontal="left" vertical="top" wrapText="1" indent="2"/>
    </xf>
    <xf numFmtId="192" fontId="65" fillId="52" borderId="23" xfId="0" applyNumberFormat="1" applyFont="1" applyFill="1" applyBorder="1" applyAlignment="1">
      <alignment horizontal="center" vertical="center"/>
    </xf>
    <xf numFmtId="0" fontId="63" fillId="0" borderId="23" xfId="0" applyFont="1" applyFill="1" applyBorder="1" applyAlignment="1">
      <alignment horizontal="center" vertical="center" wrapText="1"/>
    </xf>
    <xf numFmtId="0" fontId="63" fillId="53" borderId="2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9" fillId="0" borderId="23" xfId="0" applyFont="1" applyFill="1" applyBorder="1" applyAlignment="1">
      <alignment horizontal="center" vertical="top" wrapText="1"/>
    </xf>
    <xf numFmtId="0" fontId="63" fillId="0" borderId="23" xfId="0" applyFont="1" applyFill="1" applyBorder="1" applyAlignment="1">
      <alignment vertical="center" wrapText="1"/>
    </xf>
    <xf numFmtId="192" fontId="55" fillId="0" borderId="23" xfId="0" applyNumberFormat="1" applyFont="1" applyFill="1" applyBorder="1" applyAlignment="1">
      <alignment horizontal="center" vertical="top" wrapText="1"/>
    </xf>
    <xf numFmtId="1" fontId="55" fillId="0" borderId="0" xfId="0" applyNumberFormat="1" applyFont="1" applyFill="1" applyAlignment="1">
      <alignment horizontal="center" vertical="center"/>
    </xf>
    <xf numFmtId="0" fontId="63" fillId="47" borderId="23" xfId="0" applyFont="1" applyFill="1" applyBorder="1" applyAlignment="1">
      <alignment horizontal="center" vertical="center" wrapText="1"/>
    </xf>
    <xf numFmtId="0" fontId="66" fillId="47" borderId="23" xfId="0" applyFont="1" applyFill="1" applyBorder="1" applyAlignment="1">
      <alignment horizontal="left" vertical="center" wrapText="1" indent="4"/>
    </xf>
    <xf numFmtId="192" fontId="63" fillId="0" borderId="23" xfId="0" applyNumberFormat="1" applyFont="1" applyFill="1" applyBorder="1" applyAlignment="1">
      <alignment vertical="center"/>
    </xf>
    <xf numFmtId="192" fontId="63" fillId="47" borderId="23" xfId="0" applyNumberFormat="1" applyFont="1" applyFill="1" applyBorder="1" applyAlignment="1">
      <alignment horizontal="center" vertical="center"/>
    </xf>
    <xf numFmtId="2" fontId="55" fillId="0" borderId="0" xfId="0" applyNumberFormat="1" applyFont="1" applyFill="1" applyAlignment="1">
      <alignment/>
    </xf>
    <xf numFmtId="192" fontId="63" fillId="53" borderId="23" xfId="0" applyNumberFormat="1" applyFont="1" applyFill="1" applyBorder="1" applyAlignment="1">
      <alignment horizontal="center" vertical="center"/>
    </xf>
    <xf numFmtId="192" fontId="63" fillId="0" borderId="23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3" fontId="65" fillId="0" borderId="23" xfId="0" applyNumberFormat="1" applyFont="1" applyFill="1" applyBorder="1" applyAlignment="1">
      <alignment horizontal="right" vertical="center"/>
    </xf>
    <xf numFmtId="192" fontId="36" fillId="0" borderId="23" xfId="0" applyNumberFormat="1" applyFont="1" applyFill="1" applyBorder="1" applyAlignment="1">
      <alignment horizontal="center" vertical="center" wrapText="1"/>
    </xf>
    <xf numFmtId="1" fontId="57" fillId="0" borderId="0" xfId="0" applyNumberFormat="1" applyFont="1" applyFill="1" applyAlignment="1">
      <alignment/>
    </xf>
    <xf numFmtId="2" fontId="50" fillId="0" borderId="0" xfId="0" applyNumberFormat="1" applyFont="1" applyFill="1" applyAlignment="1">
      <alignment/>
    </xf>
    <xf numFmtId="0" fontId="63" fillId="47" borderId="23" xfId="0" applyFont="1" applyFill="1" applyBorder="1" applyAlignment="1">
      <alignment vertical="center" wrapText="1"/>
    </xf>
    <xf numFmtId="0" fontId="50" fillId="47" borderId="23" xfId="0" applyFont="1" applyFill="1" applyBorder="1" applyAlignment="1">
      <alignment horizontal="left" wrapText="1" indent="1"/>
    </xf>
    <xf numFmtId="192" fontId="65" fillId="47" borderId="23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 horizontal="left" vertical="center" wrapText="1"/>
    </xf>
    <xf numFmtId="2" fontId="28" fillId="0" borderId="0" xfId="0" applyNumberFormat="1" applyFont="1" applyFill="1" applyBorder="1" applyAlignment="1">
      <alignment wrapText="1"/>
    </xf>
    <xf numFmtId="2" fontId="27" fillId="0" borderId="0" xfId="0" applyNumberFormat="1" applyFont="1" applyFill="1" applyBorder="1" applyAlignment="1">
      <alignment/>
    </xf>
    <xf numFmtId="0" fontId="55" fillId="47" borderId="23" xfId="0" applyFont="1" applyFill="1" applyBorder="1" applyAlignment="1">
      <alignment horizontal="left" vertical="top" wrapText="1" indent="3"/>
    </xf>
    <xf numFmtId="192" fontId="27" fillId="47" borderId="23" xfId="0" applyNumberFormat="1" applyFont="1" applyFill="1" applyBorder="1" applyAlignment="1">
      <alignment/>
    </xf>
    <xf numFmtId="0" fontId="55" fillId="47" borderId="23" xfId="0" applyFont="1" applyFill="1" applyBorder="1" applyAlignment="1">
      <alignment horizontal="left" wrapText="1" indent="1"/>
    </xf>
    <xf numFmtId="192" fontId="50" fillId="47" borderId="23" xfId="0" applyNumberFormat="1" applyFont="1" applyFill="1" applyBorder="1" applyAlignment="1">
      <alignment horizontal="center" vertical="center"/>
    </xf>
    <xf numFmtId="192" fontId="68" fillId="47" borderId="23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wrapText="1"/>
    </xf>
    <xf numFmtId="192" fontId="69" fillId="0" borderId="0" xfId="0" applyNumberFormat="1" applyFont="1" applyFill="1" applyBorder="1" applyAlignment="1">
      <alignment/>
    </xf>
    <xf numFmtId="192" fontId="69" fillId="0" borderId="0" xfId="0" applyNumberFormat="1" applyFont="1" applyFill="1" applyBorder="1" applyAlignment="1">
      <alignment horizontal="center" vertical="center"/>
    </xf>
    <xf numFmtId="1" fontId="70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 vertical="top" indent="1"/>
    </xf>
    <xf numFmtId="0" fontId="50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center" wrapText="1"/>
    </xf>
    <xf numFmtId="192" fontId="55" fillId="0" borderId="0" xfId="0" applyNumberFormat="1" applyFont="1" applyFill="1" applyBorder="1" applyAlignment="1">
      <alignment horizontal="center" vertical="top" wrapText="1"/>
    </xf>
    <xf numFmtId="49" fontId="71" fillId="0" borderId="23" xfId="0" applyNumberFormat="1" applyFont="1" applyBorder="1" applyAlignment="1">
      <alignment horizontal="center" vertical="center" textRotation="90" wrapText="1"/>
    </xf>
    <xf numFmtId="0" fontId="50" fillId="0" borderId="23" xfId="0" applyFont="1" applyFill="1" applyBorder="1" applyAlignment="1">
      <alignment horizontal="left" vertical="top" wrapText="1" indent="1"/>
    </xf>
    <xf numFmtId="192" fontId="72" fillId="54" borderId="23" xfId="0" applyNumberFormat="1" applyFont="1" applyFill="1" applyBorder="1" applyAlignment="1">
      <alignment/>
    </xf>
    <xf numFmtId="192" fontId="73" fillId="54" borderId="23" xfId="0" applyNumberFormat="1" applyFont="1" applyFill="1" applyBorder="1" applyAlignment="1">
      <alignment/>
    </xf>
    <xf numFmtId="192" fontId="73" fillId="54" borderId="23" xfId="0" applyNumberFormat="1" applyFont="1" applyFill="1" applyBorder="1" applyAlignment="1">
      <alignment horizontal="center" vertical="center"/>
    </xf>
    <xf numFmtId="192" fontId="27" fillId="0" borderId="23" xfId="0" applyNumberFormat="1" applyFont="1" applyFill="1" applyBorder="1" applyAlignment="1">
      <alignment horizontal="center" vertical="center"/>
    </xf>
    <xf numFmtId="192" fontId="74" fillId="0" borderId="23" xfId="0" applyNumberFormat="1" applyFont="1" applyFill="1" applyBorder="1" applyAlignment="1">
      <alignment vertical="center"/>
    </xf>
    <xf numFmtId="192" fontId="48" fillId="0" borderId="23" xfId="0" applyNumberFormat="1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left" vertical="top" wrapText="1" indent="1"/>
    </xf>
    <xf numFmtId="192" fontId="75" fillId="0" borderId="23" xfId="0" applyNumberFormat="1" applyFont="1" applyFill="1" applyBorder="1" applyAlignment="1">
      <alignment horizontal="center" vertical="center"/>
    </xf>
    <xf numFmtId="192" fontId="76" fillId="0" borderId="23" xfId="0" applyNumberFormat="1" applyFont="1" applyFill="1" applyBorder="1" applyAlignment="1">
      <alignment vertical="center"/>
    </xf>
    <xf numFmtId="0" fontId="55" fillId="0" borderId="23" xfId="0" applyFont="1" applyFill="1" applyBorder="1" applyAlignment="1">
      <alignment horizontal="left" vertical="top" wrapText="1" indent="1"/>
    </xf>
    <xf numFmtId="192" fontId="48" fillId="0" borderId="23" xfId="0" applyNumberFormat="1" applyFont="1" applyFill="1" applyBorder="1" applyAlignment="1">
      <alignment vertical="center"/>
    </xf>
    <xf numFmtId="1" fontId="55" fillId="0" borderId="0" xfId="0" applyNumberFormat="1" applyFont="1" applyFill="1" applyBorder="1" applyAlignment="1">
      <alignment horizontal="center" vertical="top" wrapText="1"/>
    </xf>
    <xf numFmtId="192" fontId="28" fillId="0" borderId="23" xfId="0" applyNumberFormat="1" applyFont="1" applyFill="1" applyBorder="1" applyAlignment="1">
      <alignment/>
    </xf>
    <xf numFmtId="192" fontId="28" fillId="0" borderId="23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 applyProtection="1">
      <alignment horizontal="left" indent="1"/>
      <protection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/>
    </xf>
    <xf numFmtId="1" fontId="5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2" fontId="28" fillId="0" borderId="0" xfId="0" applyNumberFormat="1" applyFont="1" applyFill="1" applyBorder="1" applyAlignment="1">
      <alignment/>
    </xf>
    <xf numFmtId="0" fontId="53" fillId="55" borderId="31" xfId="0" applyFont="1" applyFill="1" applyBorder="1" applyAlignment="1">
      <alignment horizontal="right" vertical="top" wrapText="1"/>
    </xf>
    <xf numFmtId="0" fontId="53" fillId="55" borderId="32" xfId="0" applyFont="1" applyFill="1" applyBorder="1" applyAlignment="1">
      <alignment horizontal="right" vertical="top" wrapText="1"/>
    </xf>
    <xf numFmtId="0" fontId="53" fillId="55" borderId="33" xfId="0" applyFont="1" applyFill="1" applyBorder="1" applyAlignment="1">
      <alignment horizontal="right" vertical="top" wrapText="1"/>
    </xf>
    <xf numFmtId="0" fontId="53" fillId="55" borderId="28" xfId="0" applyFont="1" applyFill="1" applyBorder="1" applyAlignment="1">
      <alignment horizontal="right" vertical="top" wrapText="1"/>
    </xf>
    <xf numFmtId="0" fontId="50" fillId="0" borderId="31" xfId="0" applyFont="1" applyBorder="1" applyAlignment="1">
      <alignment horizontal="right" vertical="top" wrapText="1"/>
    </xf>
    <xf numFmtId="0" fontId="50" fillId="0" borderId="32" xfId="0" applyFont="1" applyBorder="1" applyAlignment="1">
      <alignment horizontal="right" vertical="top" wrapText="1"/>
    </xf>
    <xf numFmtId="0" fontId="50" fillId="0" borderId="33" xfId="0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50" fillId="49" borderId="28" xfId="0" applyFont="1" applyFill="1" applyBorder="1" applyAlignment="1">
      <alignment horizontal="center" vertical="center" wrapText="1"/>
    </xf>
    <xf numFmtId="4" fontId="50" fillId="0" borderId="28" xfId="0" applyNumberFormat="1" applyFont="1" applyBorder="1" applyAlignment="1">
      <alignment horizontal="right" vertical="top" wrapText="1"/>
    </xf>
    <xf numFmtId="4" fontId="37" fillId="0" borderId="0" xfId="0" applyNumberFormat="1" applyFont="1" applyAlignment="1">
      <alignment horizontal="left"/>
    </xf>
    <xf numFmtId="2" fontId="77" fillId="0" borderId="0" xfId="0" applyNumberFormat="1" applyFont="1" applyAlignment="1">
      <alignment wrapText="1"/>
    </xf>
    <xf numFmtId="0" fontId="23" fillId="0" borderId="34" xfId="0" applyFont="1" applyBorder="1" applyAlignment="1">
      <alignment/>
    </xf>
    <xf numFmtId="17" fontId="78" fillId="0" borderId="23" xfId="0" applyNumberFormat="1" applyFont="1" applyBorder="1" applyAlignment="1">
      <alignment horizontal="center" wrapText="1"/>
    </xf>
    <xf numFmtId="17" fontId="78" fillId="0" borderId="35" xfId="0" applyNumberFormat="1" applyFont="1" applyBorder="1" applyAlignment="1">
      <alignment horizontal="center" wrapText="1"/>
    </xf>
    <xf numFmtId="49" fontId="78" fillId="0" borderId="35" xfId="0" applyNumberFormat="1" applyFont="1" applyBorder="1" applyAlignment="1">
      <alignment horizontal="center" wrapText="1"/>
    </xf>
    <xf numFmtId="0" fontId="78" fillId="0" borderId="23" xfId="0" applyFont="1" applyBorder="1" applyAlignment="1">
      <alignment wrapText="1"/>
    </xf>
    <xf numFmtId="0" fontId="78" fillId="0" borderId="23" xfId="0" applyFont="1" applyBorder="1" applyAlignment="1">
      <alignment horizontal="center" wrapText="1"/>
    </xf>
    <xf numFmtId="17" fontId="0" fillId="0" borderId="23" xfId="0" applyNumberFormat="1" applyBorder="1" applyAlignment="1">
      <alignment wrapText="1"/>
    </xf>
    <xf numFmtId="49" fontId="78" fillId="0" borderId="23" xfId="0" applyNumberFormat="1" applyFont="1" applyBorder="1" applyAlignment="1">
      <alignment horizontal="center" wrapText="1"/>
    </xf>
    <xf numFmtId="17" fontId="0" fillId="0" borderId="23" xfId="0" applyNumberFormat="1" applyBorder="1" applyAlignment="1">
      <alignment horizontal="center" wrapText="1"/>
    </xf>
    <xf numFmtId="0" fontId="78" fillId="0" borderId="35" xfId="0" applyFont="1" applyBorder="1" applyAlignment="1">
      <alignment wrapText="1"/>
    </xf>
    <xf numFmtId="0" fontId="78" fillId="0" borderId="25" xfId="0" applyFont="1" applyBorder="1" applyAlignment="1">
      <alignment wrapText="1"/>
    </xf>
    <xf numFmtId="0" fontId="23" fillId="0" borderId="36" xfId="0" applyFon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0" fontId="0" fillId="0" borderId="35" xfId="0" applyBorder="1" applyAlignment="1">
      <alignment/>
    </xf>
    <xf numFmtId="0" fontId="23" fillId="0" borderId="37" xfId="0" applyFont="1" applyBorder="1" applyAlignment="1">
      <alignment wrapText="1"/>
    </xf>
    <xf numFmtId="4" fontId="0" fillId="0" borderId="35" xfId="0" applyNumberFormat="1" applyBorder="1" applyAlignment="1">
      <alignment/>
    </xf>
    <xf numFmtId="4" fontId="0" fillId="51" borderId="23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77" fillId="0" borderId="38" xfId="0" applyFont="1" applyBorder="1" applyAlignment="1">
      <alignment wrapText="1"/>
    </xf>
    <xf numFmtId="4" fontId="88" fillId="0" borderId="23" xfId="0" applyNumberFormat="1" applyFont="1" applyBorder="1" applyAlignment="1">
      <alignment/>
    </xf>
    <xf numFmtId="4" fontId="88" fillId="0" borderId="23" xfId="0" applyNumberFormat="1" applyFont="1" applyFill="1" applyBorder="1" applyAlignment="1">
      <alignment/>
    </xf>
    <xf numFmtId="4" fontId="88" fillId="0" borderId="35" xfId="0" applyNumberFormat="1" applyFont="1" applyBorder="1" applyAlignment="1">
      <alignment/>
    </xf>
    <xf numFmtId="0" fontId="88" fillId="0" borderId="23" xfId="0" applyFont="1" applyBorder="1" applyAlignment="1">
      <alignment/>
    </xf>
    <xf numFmtId="0" fontId="23" fillId="0" borderId="39" xfId="0" applyFont="1" applyBorder="1" applyAlignment="1">
      <alignment wrapText="1"/>
    </xf>
    <xf numFmtId="0" fontId="77" fillId="0" borderId="40" xfId="0" applyFont="1" applyBorder="1" applyAlignment="1">
      <alignment wrapText="1"/>
    </xf>
    <xf numFmtId="4" fontId="0" fillId="0" borderId="23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0" fontId="23" fillId="0" borderId="41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77" fillId="0" borderId="42" xfId="0" applyFont="1" applyBorder="1" applyAlignment="1">
      <alignment wrapText="1"/>
    </xf>
    <xf numFmtId="0" fontId="23" fillId="0" borderId="43" xfId="0" applyFont="1" applyBorder="1" applyAlignment="1">
      <alignment wrapText="1"/>
    </xf>
    <xf numFmtId="0" fontId="77" fillId="0" borderId="34" xfId="0" applyFont="1" applyBorder="1" applyAlignment="1">
      <alignment wrapText="1"/>
    </xf>
    <xf numFmtId="0" fontId="23" fillId="0" borderId="36" xfId="0" applyFont="1" applyBorder="1" applyAlignment="1">
      <alignment wrapText="1"/>
    </xf>
    <xf numFmtId="0" fontId="23" fillId="0" borderId="23" xfId="0" applyFont="1" applyBorder="1" applyAlignment="1">
      <alignment wrapText="1"/>
    </xf>
    <xf numFmtId="0" fontId="23" fillId="0" borderId="44" xfId="0" applyFont="1" applyBorder="1" applyAlignment="1">
      <alignment wrapText="1"/>
    </xf>
    <xf numFmtId="0" fontId="77" fillId="0" borderId="45" xfId="0" applyFont="1" applyBorder="1" applyAlignment="1">
      <alignment wrapText="1"/>
    </xf>
    <xf numFmtId="0" fontId="77" fillId="0" borderId="37" xfId="0" applyFont="1" applyBorder="1" applyAlignment="1">
      <alignment wrapText="1"/>
    </xf>
    <xf numFmtId="4" fontId="23" fillId="0" borderId="23" xfId="0" applyNumberFormat="1" applyFont="1" applyBorder="1" applyAlignment="1">
      <alignment wrapText="1"/>
    </xf>
    <xf numFmtId="0" fontId="88" fillId="0" borderId="23" xfId="0" applyFont="1" applyFill="1" applyBorder="1" applyAlignment="1">
      <alignment/>
    </xf>
    <xf numFmtId="0" fontId="77" fillId="0" borderId="41" xfId="0" applyFont="1" applyBorder="1" applyAlignment="1">
      <alignment/>
    </xf>
    <xf numFmtId="0" fontId="23" fillId="0" borderId="37" xfId="0" applyFont="1" applyBorder="1" applyAlignment="1">
      <alignment/>
    </xf>
    <xf numFmtId="0" fontId="77" fillId="0" borderId="37" xfId="0" applyFont="1" applyBorder="1" applyAlignment="1">
      <alignment/>
    </xf>
    <xf numFmtId="0" fontId="77" fillId="0" borderId="34" xfId="0" applyFont="1" applyBorder="1" applyAlignment="1">
      <alignment/>
    </xf>
    <xf numFmtId="0" fontId="77" fillId="0" borderId="36" xfId="0" applyFont="1" applyBorder="1" applyAlignment="1">
      <alignment/>
    </xf>
    <xf numFmtId="0" fontId="77" fillId="0" borderId="38" xfId="0" applyFont="1" applyFill="1" applyBorder="1" applyAlignment="1">
      <alignment/>
    </xf>
    <xf numFmtId="4" fontId="55" fillId="0" borderId="46" xfId="99" applyNumberFormat="1" applyFont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0" fillId="0" borderId="29" xfId="99" applyNumberFormat="1" applyFont="1" applyBorder="1" applyAlignment="1">
      <alignment horizontal="right" vertical="top" wrapText="1"/>
      <protection/>
    </xf>
    <xf numFmtId="4" fontId="55" fillId="0" borderId="47" xfId="99" applyNumberFormat="1" applyFont="1" applyBorder="1" applyAlignment="1">
      <alignment horizontal="right" vertical="top" wrapText="1"/>
      <protection/>
    </xf>
    <xf numFmtId="4" fontId="55" fillId="0" borderId="29" xfId="98" applyNumberFormat="1" applyFont="1" applyBorder="1" applyAlignment="1">
      <alignment horizontal="right" vertical="top" wrapText="1"/>
      <protection/>
    </xf>
    <xf numFmtId="185" fontId="0" fillId="0" borderId="0" xfId="0" applyNumberFormat="1" applyAlignment="1">
      <alignment horizontal="left"/>
    </xf>
    <xf numFmtId="0" fontId="50" fillId="49" borderId="28" xfId="0" applyFont="1" applyFill="1" applyBorder="1" applyAlignment="1">
      <alignment horizontal="center" vertical="center" wrapText="1"/>
    </xf>
    <xf numFmtId="4" fontId="50" fillId="0" borderId="28" xfId="0" applyNumberFormat="1" applyFont="1" applyBorder="1" applyAlignment="1">
      <alignment horizontal="right" vertical="top" wrapText="1"/>
    </xf>
    <xf numFmtId="4" fontId="0" fillId="51" borderId="0" xfId="0" applyNumberFormat="1" applyFill="1" applyAlignment="1">
      <alignment/>
    </xf>
    <xf numFmtId="0" fontId="0" fillId="51" borderId="0" xfId="0" applyFill="1" applyAlignment="1">
      <alignment/>
    </xf>
    <xf numFmtId="4" fontId="88" fillId="0" borderId="0" xfId="0" applyNumberFormat="1" applyFont="1" applyAlignment="1">
      <alignment/>
    </xf>
    <xf numFmtId="0" fontId="54" fillId="0" borderId="0" xfId="96" applyFont="1" applyAlignment="1">
      <alignment horizontal="left"/>
      <protection/>
    </xf>
    <xf numFmtId="0" fontId="63" fillId="0" borderId="0" xfId="96">
      <alignment/>
      <protection/>
    </xf>
    <xf numFmtId="0" fontId="63" fillId="0" borderId="0" xfId="96" applyAlignment="1">
      <alignment horizontal="left"/>
      <protection/>
    </xf>
    <xf numFmtId="0" fontId="50" fillId="13" borderId="29" xfId="96" applyNumberFormat="1" applyFont="1" applyFill="1" applyBorder="1" applyAlignment="1">
      <alignment horizontal="left" vertical="center" wrapText="1"/>
      <protection/>
    </xf>
    <xf numFmtId="0" fontId="50" fillId="13" borderId="29" xfId="96" applyNumberFormat="1" applyFont="1" applyFill="1" applyBorder="1" applyAlignment="1">
      <alignment horizontal="center" vertical="center" wrapText="1"/>
      <protection/>
    </xf>
    <xf numFmtId="1" fontId="50" fillId="32" borderId="29" xfId="96" applyNumberFormat="1" applyFont="1" applyFill="1" applyBorder="1" applyAlignment="1">
      <alignment horizontal="left" vertical="top"/>
      <protection/>
    </xf>
    <xf numFmtId="0" fontId="50" fillId="32" borderId="29" xfId="96" applyNumberFormat="1" applyFont="1" applyFill="1" applyBorder="1" applyAlignment="1">
      <alignment horizontal="left" vertical="top" wrapText="1"/>
      <protection/>
    </xf>
    <xf numFmtId="0" fontId="50" fillId="32" borderId="29" xfId="96" applyNumberFormat="1" applyFont="1" applyFill="1" applyBorder="1" applyAlignment="1">
      <alignment horizontal="right" vertical="top" wrapText="1"/>
      <protection/>
    </xf>
    <xf numFmtId="4" fontId="50" fillId="32" borderId="29" xfId="96" applyNumberFormat="1" applyFont="1" applyFill="1" applyBorder="1" applyAlignment="1">
      <alignment horizontal="right" vertical="top" wrapText="1"/>
      <protection/>
    </xf>
    <xf numFmtId="0" fontId="55" fillId="0" borderId="29" xfId="96" applyNumberFormat="1" applyFont="1" applyBorder="1" applyAlignment="1">
      <alignment horizontal="left" vertical="top" indent="2"/>
      <protection/>
    </xf>
    <xf numFmtId="1" fontId="55" fillId="0" borderId="29" xfId="96" applyNumberFormat="1" applyFont="1" applyBorder="1" applyAlignment="1">
      <alignment horizontal="left" vertical="top"/>
      <protection/>
    </xf>
    <xf numFmtId="0" fontId="55" fillId="0" borderId="29" xfId="96" applyNumberFormat="1" applyFont="1" applyBorder="1" applyAlignment="1">
      <alignment horizontal="right" vertical="top" wrapText="1"/>
      <protection/>
    </xf>
    <xf numFmtId="4" fontId="55" fillId="0" borderId="29" xfId="96" applyNumberFormat="1" applyFont="1" applyBorder="1" applyAlignment="1">
      <alignment horizontal="right" vertical="top" wrapText="1"/>
      <protection/>
    </xf>
    <xf numFmtId="0" fontId="55" fillId="0" borderId="29" xfId="96" applyNumberFormat="1" applyFont="1" applyBorder="1" applyAlignment="1">
      <alignment horizontal="left" vertical="top" indent="4"/>
      <protection/>
    </xf>
    <xf numFmtId="0" fontId="55" fillId="0" borderId="29" xfId="96" applyNumberFormat="1" applyFont="1" applyBorder="1" applyAlignment="1">
      <alignment horizontal="left" vertical="top" indent="6"/>
      <protection/>
    </xf>
    <xf numFmtId="0" fontId="50" fillId="32" borderId="29" xfId="96" applyNumberFormat="1" applyFont="1" applyFill="1" applyBorder="1" applyAlignment="1">
      <alignment horizontal="left" vertical="top"/>
      <protection/>
    </xf>
    <xf numFmtId="3" fontId="41" fillId="0" borderId="26" xfId="0" applyNumberFormat="1" applyFont="1" applyFill="1" applyBorder="1" applyAlignment="1">
      <alignment horizontal="center" vertical="top" wrapText="1"/>
    </xf>
    <xf numFmtId="3" fontId="40" fillId="0" borderId="27" xfId="0" applyNumberFormat="1" applyFont="1" applyFill="1" applyBorder="1" applyAlignment="1">
      <alignment horizontal="center" vertical="top" wrapText="1"/>
    </xf>
    <xf numFmtId="3" fontId="0" fillId="0" borderId="23" xfId="0" applyNumberFormat="1" applyBorder="1" applyAlignment="1">
      <alignment/>
    </xf>
    <xf numFmtId="3" fontId="40" fillId="0" borderId="26" xfId="0" applyNumberFormat="1" applyFont="1" applyBorder="1" applyAlignment="1">
      <alignment horizontal="center" vertical="top" wrapText="1"/>
    </xf>
    <xf numFmtId="3" fontId="40" fillId="0" borderId="26" xfId="0" applyNumberFormat="1" applyFont="1" applyFill="1" applyBorder="1" applyAlignment="1">
      <alignment horizontal="center" vertical="top" wrapText="1"/>
    </xf>
    <xf numFmtId="3" fontId="40" fillId="0" borderId="23" xfId="0" applyNumberFormat="1" applyFont="1" applyBorder="1" applyAlignment="1">
      <alignment horizontal="center" vertical="top" wrapText="1"/>
    </xf>
    <xf numFmtId="3" fontId="40" fillId="0" borderId="23" xfId="0" applyNumberFormat="1" applyFont="1" applyFill="1" applyBorder="1" applyAlignment="1">
      <alignment horizontal="center" vertical="top" wrapText="1"/>
    </xf>
    <xf numFmtId="1" fontId="41" fillId="0" borderId="26" xfId="0" applyNumberFormat="1" applyFont="1" applyFill="1" applyBorder="1" applyAlignment="1">
      <alignment horizontal="center" vertical="top" wrapText="1"/>
    </xf>
    <xf numFmtId="3" fontId="37" fillId="0" borderId="35" xfId="100" applyNumberFormat="1" applyFont="1" applyFill="1" applyBorder="1" applyAlignment="1">
      <alignment horizontal="center"/>
      <protection/>
    </xf>
    <xf numFmtId="3" fontId="0" fillId="51" borderId="23" xfId="0" applyNumberFormat="1" applyFill="1" applyBorder="1" applyAlignment="1">
      <alignment/>
    </xf>
    <xf numFmtId="0" fontId="50" fillId="49" borderId="28" xfId="0" applyFont="1" applyFill="1" applyBorder="1" applyAlignment="1">
      <alignment horizontal="center" vertical="center" wrapText="1"/>
    </xf>
    <xf numFmtId="4" fontId="50" fillId="0" borderId="28" xfId="0" applyNumberFormat="1" applyFont="1" applyBorder="1" applyAlignment="1">
      <alignment horizontal="right" vertical="top" wrapText="1"/>
    </xf>
    <xf numFmtId="0" fontId="50" fillId="49" borderId="28" xfId="0" applyFont="1" applyFill="1" applyBorder="1" applyAlignment="1">
      <alignment horizontal="center" vertical="center" wrapText="1"/>
    </xf>
    <xf numFmtId="4" fontId="50" fillId="0" borderId="28" xfId="0" applyNumberFormat="1" applyFont="1" applyBorder="1" applyAlignment="1">
      <alignment horizontal="right" vertical="top" wrapText="1"/>
    </xf>
    <xf numFmtId="0" fontId="0" fillId="51" borderId="23" xfId="0" applyFill="1" applyBorder="1" applyAlignment="1">
      <alignment/>
    </xf>
    <xf numFmtId="4" fontId="88" fillId="51" borderId="23" xfId="0" applyNumberFormat="1" applyFont="1" applyFill="1" applyBorder="1" applyAlignment="1">
      <alignment/>
    </xf>
    <xf numFmtId="0" fontId="77" fillId="0" borderId="41" xfId="0" applyFont="1" applyFill="1" applyBorder="1" applyAlignment="1">
      <alignment/>
    </xf>
    <xf numFmtId="179" fontId="0" fillId="0" borderId="0" xfId="114" applyNumberFormat="1" applyFont="1" applyBorder="1" applyAlignment="1">
      <alignment vertical="center" wrapText="1"/>
    </xf>
    <xf numFmtId="0" fontId="0" fillId="0" borderId="0" xfId="95" applyFont="1">
      <alignment/>
      <protection/>
    </xf>
    <xf numFmtId="0" fontId="50" fillId="33" borderId="48" xfId="0" applyNumberFormat="1" applyFont="1" applyFill="1" applyBorder="1" applyAlignment="1">
      <alignment horizontal="center" vertical="center" wrapText="1"/>
    </xf>
    <xf numFmtId="0" fontId="50" fillId="0" borderId="48" xfId="0" applyNumberFormat="1" applyFont="1" applyBorder="1" applyAlignment="1">
      <alignment horizontal="left" vertical="top" wrapText="1"/>
    </xf>
    <xf numFmtId="4" fontId="50" fillId="0" borderId="48" xfId="0" applyNumberFormat="1" applyFont="1" applyBorder="1" applyAlignment="1">
      <alignment horizontal="right" vertical="top" wrapText="1"/>
    </xf>
    <xf numFmtId="0" fontId="50" fillId="0" borderId="48" xfId="0" applyNumberFormat="1" applyFont="1" applyBorder="1" applyAlignment="1">
      <alignment horizontal="right" vertical="top" wrapText="1"/>
    </xf>
    <xf numFmtId="0" fontId="55" fillId="0" borderId="48" xfId="0" applyNumberFormat="1" applyFont="1" applyBorder="1" applyAlignment="1">
      <alignment horizontal="left" vertical="top" wrapText="1" indent="2"/>
    </xf>
    <xf numFmtId="4" fontId="55" fillId="0" borderId="48" xfId="0" applyNumberFormat="1" applyFont="1" applyBorder="1" applyAlignment="1">
      <alignment horizontal="right" vertical="top" wrapText="1"/>
    </xf>
    <xf numFmtId="0" fontId="55" fillId="0" borderId="48" xfId="0" applyNumberFormat="1" applyFont="1" applyBorder="1" applyAlignment="1">
      <alignment horizontal="right" vertical="top" wrapText="1"/>
    </xf>
    <xf numFmtId="0" fontId="56" fillId="0" borderId="48" xfId="0" applyNumberFormat="1" applyFont="1" applyBorder="1" applyAlignment="1">
      <alignment horizontal="left" vertical="top" wrapText="1" indent="2"/>
    </xf>
    <xf numFmtId="4" fontId="56" fillId="0" borderId="48" xfId="0" applyNumberFormat="1" applyFont="1" applyBorder="1" applyAlignment="1">
      <alignment horizontal="right" vertical="top" wrapText="1"/>
    </xf>
    <xf numFmtId="0" fontId="56" fillId="0" borderId="48" xfId="0" applyNumberFormat="1" applyFont="1" applyBorder="1" applyAlignment="1">
      <alignment horizontal="right" vertical="top" wrapText="1"/>
    </xf>
    <xf numFmtId="0" fontId="55" fillId="0" borderId="48" xfId="0" applyNumberFormat="1" applyFont="1" applyBorder="1" applyAlignment="1">
      <alignment horizontal="left" vertical="top" wrapText="1" indent="4"/>
    </xf>
    <xf numFmtId="4" fontId="57" fillId="0" borderId="48" xfId="0" applyNumberFormat="1" applyFont="1" applyBorder="1" applyAlignment="1">
      <alignment horizontal="right" vertical="top" wrapText="1"/>
    </xf>
    <xf numFmtId="0" fontId="56" fillId="0" borderId="48" xfId="0" applyNumberFormat="1" applyFont="1" applyBorder="1" applyAlignment="1">
      <alignment horizontal="left" vertical="top" wrapText="1" indent="4"/>
    </xf>
    <xf numFmtId="2" fontId="55" fillId="0" borderId="48" xfId="0" applyNumberFormat="1" applyFont="1" applyBorder="1" applyAlignment="1">
      <alignment horizontal="right" vertical="top" wrapText="1"/>
    </xf>
    <xf numFmtId="4" fontId="58" fillId="0" borderId="48" xfId="0" applyNumberFormat="1" applyFont="1" applyBorder="1" applyAlignment="1">
      <alignment horizontal="right" vertical="top" wrapText="1"/>
    </xf>
    <xf numFmtId="0" fontId="64" fillId="33" borderId="48" xfId="0" applyNumberFormat="1" applyFont="1" applyFill="1" applyBorder="1" applyAlignment="1">
      <alignment horizontal="left" vertical="top"/>
    </xf>
    <xf numFmtId="200" fontId="64" fillId="33" borderId="48" xfId="0" applyNumberFormat="1" applyFont="1" applyFill="1" applyBorder="1" applyAlignment="1">
      <alignment horizontal="right" vertical="top" wrapText="1"/>
    </xf>
    <xf numFmtId="4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79" fontId="79" fillId="0" borderId="0" xfId="114" applyNumberFormat="1" applyFont="1" applyBorder="1" applyAlignment="1">
      <alignment vertical="center" wrapText="1"/>
    </xf>
    <xf numFmtId="179" fontId="0" fillId="0" borderId="0" xfId="95" applyNumberFormat="1">
      <alignment/>
      <protection/>
    </xf>
    <xf numFmtId="4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44" fillId="0" borderId="0" xfId="0" applyFont="1" applyAlignment="1">
      <alignment/>
    </xf>
    <xf numFmtId="0" fontId="41" fillId="0" borderId="49" xfId="0" applyFont="1" applyBorder="1" applyAlignment="1">
      <alignment horizontal="center" vertical="top" wrapText="1"/>
    </xf>
    <xf numFmtId="0" fontId="41" fillId="0" borderId="50" xfId="0" applyFont="1" applyBorder="1" applyAlignment="1">
      <alignment horizontal="center" vertical="top" wrapText="1"/>
    </xf>
    <xf numFmtId="0" fontId="41" fillId="0" borderId="49" xfId="0" applyFont="1" applyFill="1" applyBorder="1" applyAlignment="1">
      <alignment horizontal="center" vertical="top" wrapText="1"/>
    </xf>
    <xf numFmtId="0" fontId="41" fillId="0" borderId="50" xfId="0" applyFont="1" applyFill="1" applyBorder="1" applyAlignment="1">
      <alignment horizontal="center" vertical="top" wrapText="1"/>
    </xf>
    <xf numFmtId="2" fontId="32" fillId="0" borderId="19" xfId="95" applyNumberFormat="1" applyFont="1" applyFill="1" applyBorder="1" applyAlignment="1">
      <alignment horizontal="center" vertical="top" wrapText="1"/>
      <protection/>
    </xf>
    <xf numFmtId="2" fontId="32" fillId="0" borderId="19" xfId="95" applyNumberFormat="1" applyFont="1" applyFill="1" applyBorder="1" applyAlignment="1">
      <alignment horizontal="center" vertical="top"/>
      <protection/>
    </xf>
    <xf numFmtId="0" fontId="29" fillId="48" borderId="0" xfId="95" applyFont="1" applyFill="1" applyAlignment="1">
      <alignment horizontal="left" wrapText="1"/>
      <protection/>
    </xf>
    <xf numFmtId="0" fontId="28" fillId="48" borderId="0" xfId="95" applyFont="1" applyFill="1" applyAlignment="1">
      <alignment/>
      <protection/>
    </xf>
    <xf numFmtId="0" fontId="31" fillId="0" borderId="19" xfId="95" applyFont="1" applyFill="1" applyBorder="1" applyAlignment="1">
      <alignment horizontal="center" wrapText="1"/>
      <protection/>
    </xf>
    <xf numFmtId="2" fontId="33" fillId="0" borderId="19" xfId="95" applyNumberFormat="1" applyFont="1" applyFill="1" applyBorder="1" applyAlignment="1">
      <alignment horizontal="center" vertical="top" wrapText="1"/>
      <protection/>
    </xf>
    <xf numFmtId="0" fontId="50" fillId="49" borderId="28" xfId="0" applyFont="1" applyFill="1" applyBorder="1" applyAlignment="1">
      <alignment horizontal="left" vertical="center" wrapText="1"/>
    </xf>
    <xf numFmtId="0" fontId="50" fillId="49" borderId="28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 shrinkToFit="1"/>
    </xf>
    <xf numFmtId="0" fontId="27" fillId="0" borderId="24" xfId="0" applyFont="1" applyFill="1" applyBorder="1" applyAlignment="1">
      <alignment horizontal="center" vertical="center" wrapText="1" shrinkToFit="1"/>
    </xf>
    <xf numFmtId="0" fontId="27" fillId="0" borderId="35" xfId="0" applyFont="1" applyFill="1" applyBorder="1" applyAlignment="1">
      <alignment horizontal="center" vertical="center" wrapText="1" shrinkToFit="1"/>
    </xf>
    <xf numFmtId="0" fontId="27" fillId="0" borderId="51" xfId="0" applyFont="1" applyFill="1" applyBorder="1" applyAlignment="1">
      <alignment horizontal="center" vertical="center" wrapText="1" shrinkToFit="1"/>
    </xf>
    <xf numFmtId="0" fontId="27" fillId="0" borderId="25" xfId="0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left" wrapText="1" shrinkToFit="1"/>
    </xf>
    <xf numFmtId="0" fontId="27" fillId="0" borderId="0" xfId="0" applyFont="1" applyFill="1" applyAlignment="1">
      <alignment horizontal="center" wrapText="1" shrinkToFit="1"/>
    </xf>
    <xf numFmtId="0" fontId="56" fillId="0" borderId="30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 shrinkToFit="1"/>
    </xf>
    <xf numFmtId="0" fontId="50" fillId="0" borderId="52" xfId="0" applyFont="1" applyFill="1" applyBorder="1" applyAlignment="1">
      <alignment horizontal="left" vertical="top" wrapText="1"/>
    </xf>
    <xf numFmtId="1" fontId="53" fillId="55" borderId="28" xfId="0" applyNumberFormat="1" applyFont="1" applyFill="1" applyBorder="1" applyAlignment="1">
      <alignment horizontal="left" vertical="top" wrapText="1"/>
    </xf>
    <xf numFmtId="4" fontId="53" fillId="55" borderId="28" xfId="0" applyNumberFormat="1" applyFont="1" applyFill="1" applyBorder="1" applyAlignment="1">
      <alignment horizontal="right" vertical="top" wrapText="1"/>
    </xf>
    <xf numFmtId="0" fontId="50" fillId="0" borderId="28" xfId="0" applyFont="1" applyBorder="1" applyAlignment="1">
      <alignment horizontal="left" vertical="top" wrapText="1" indent="2"/>
    </xf>
    <xf numFmtId="4" fontId="50" fillId="0" borderId="28" xfId="0" applyNumberFormat="1" applyFont="1" applyBorder="1" applyAlignment="1">
      <alignment horizontal="right" vertical="top" wrapText="1"/>
    </xf>
    <xf numFmtId="0" fontId="0" fillId="0" borderId="53" xfId="0" applyBorder="1" applyAlignment="1">
      <alignment horizontal="center"/>
    </xf>
    <xf numFmtId="0" fontId="41" fillId="0" borderId="20" xfId="0" applyFont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50" fillId="33" borderId="48" xfId="0" applyNumberFormat="1" applyFont="1" applyFill="1" applyBorder="1" applyAlignment="1">
      <alignment horizontal="left" vertical="center" wrapText="1"/>
    </xf>
    <xf numFmtId="0" fontId="50" fillId="33" borderId="48" xfId="0" applyNumberFormat="1" applyFont="1" applyFill="1" applyBorder="1" applyAlignment="1">
      <alignment horizontal="center" vertical="center" wrapText="1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ДЗО Формы финотчетности Сам" xfId="95"/>
    <cellStyle name="Обычный_Лист8" xfId="96"/>
    <cellStyle name="Обычный_осв от 10.07.2014г" xfId="97"/>
    <cellStyle name="Обычный_осв07" xfId="98"/>
    <cellStyle name="Обычный_расчет прибыли" xfId="99"/>
    <cellStyle name="Обычный_Ф 1,2,3,4, без переоценки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Стиль 1" xfId="107"/>
    <cellStyle name="Текст предупреждения" xfId="108"/>
    <cellStyle name="Comma" xfId="109"/>
    <cellStyle name="Comma [0]" xfId="110"/>
    <cellStyle name="Финансовый 2" xfId="111"/>
    <cellStyle name="Финансовый 3" xfId="112"/>
    <cellStyle name="Финансовый 4" xfId="113"/>
    <cellStyle name="Финансовый_Ф 1,2,3,4, без переоценки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_togisova\NET\DOCUME~1\G_TOGI~1\LOCALS~1\Temp\bat\&#1044;&#1047;&#1054;%20&#1060;&#1086;&#1088;&#1084;&#1099;%20&#1092;&#1080;&#1085;&#1086;&#1090;&#1095;&#1077;&#1090;&#1085;&#1086;&#1089;&#1090;&#1080;%20&#1057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9;\&#1040;&#1089;&#1099;&#1083;%20&#1057;&#1072;&#1088;&#1089;&#1077;&#1085;&#1086;&#1074;&#1085;&#1072;\&#1064;&#1072;&#1090;&#1090;&#1099;&#1075;&#1091;&#1083;&#1100;\53%20&#1092;&#1086;&#1088;&#1084;&#1099;%20&#1079;&#1072;%201%20&#1087;&#1086;&#1083;&#1091;&#1075;&#1086;&#1076;&#1080;&#1077;%202013&#1075;.%20&#1086;&#1090;%2012.07.2013&#1075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86;&#1074;&#1072;&#1103;%20&#1087;&#1072;&#1087;&#1082;&#1072;%20(3)\&#1042;&#1072;&#1076;&#1080;&#1084;\&#1060;&#1054;%20&#1044;&#1047;&#1054;%20%20&#1079;&#1072;%202014&#1075;%20%20%20%20%20&#1073;&#1072;&#1083;&#1072;&#1085;&#1089;%20&#1089;%20&#1087;&#1077;&#1088;&#1077;&#1086;&#1094;&#1077;&#1085;&#1082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 - 2"/>
      <sheetName val="Ф4"/>
    </sheetNames>
    <sheetDataSet>
      <sheetData sheetId="0">
        <row r="1">
          <cell r="A1" t="str">
            <v>Введите название компании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Ф1"/>
      <sheetName val="Ф2"/>
      <sheetName val="Ф3"/>
      <sheetName val="Ф4"/>
      <sheetName val="3 "/>
      <sheetName val="1"/>
      <sheetName val="4"/>
      <sheetName val="5"/>
      <sheetName val="6"/>
      <sheetName val="7"/>
      <sheetName val="8"/>
      <sheetName val="9"/>
      <sheetName val="10"/>
      <sheetName val="10 (1)"/>
      <sheetName val="11"/>
      <sheetName val="12"/>
      <sheetName val="12 (1)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5"/>
      <sheetName val="34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5(1)"/>
      <sheetName val="46"/>
      <sheetName val="47"/>
      <sheetName val="48"/>
      <sheetName val="49"/>
      <sheetName val="50"/>
      <sheetName val="51"/>
      <sheetName val="52"/>
      <sheetName val="53"/>
      <sheetName val="Изменения"/>
      <sheetName val="Контроль по ВГОО ФНБ"/>
      <sheetName val="Лист1"/>
      <sheetName val="Лист2"/>
      <sheetName val="Лист3"/>
      <sheetName val="Лист4"/>
      <sheetName val="Лист5"/>
      <sheetName val="Лист6"/>
    </sheetNames>
    <sheetDataSet>
      <sheetData sheetId="22">
        <row r="27">
          <cell r="D27">
            <v>0</v>
          </cell>
          <cell r="AN27">
            <v>0</v>
          </cell>
          <cell r="AO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прибыли (12)"/>
      <sheetName val="ВГО2(12)"/>
      <sheetName val="Ф2(12)"/>
      <sheetName val="ВГО 1(12)"/>
      <sheetName val="ф1(12)"/>
      <sheetName val="движения ОС"/>
      <sheetName val="СЧ2184"/>
      <sheetName val="расчет прибыли после кооректир."/>
      <sheetName val="кпн"/>
      <sheetName val="налоговый учет"/>
      <sheetName val="осв 2014 оконч"/>
      <sheetName val="ббперец"/>
      <sheetName val="осв после коррект"/>
      <sheetName val="не идущие на вычеты"/>
      <sheetName val="Лист2"/>
      <sheetName val="ф1(31,12,14)"/>
      <sheetName val="осв"/>
      <sheetName val="2014год"/>
      <sheetName val="Лист1"/>
    </sheetNames>
    <sheetDataSet>
      <sheetData sheetId="5">
        <row r="79">
          <cell r="G79">
            <v>22762318.942808308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4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J80"/>
  <sheetViews>
    <sheetView workbookViewId="0" topLeftCell="A37">
      <selection activeCell="C53" sqref="C53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2" ht="12.75">
      <c r="D2" s="1" t="s">
        <v>0</v>
      </c>
    </row>
    <row r="3" spans="3:4" ht="12.75">
      <c r="C3" s="1" t="s">
        <v>1</v>
      </c>
      <c r="D3" s="1"/>
    </row>
    <row r="4" spans="3:5" ht="12.75">
      <c r="C4" s="1" t="s">
        <v>2</v>
      </c>
      <c r="D4" s="1"/>
      <c r="E4" s="1"/>
    </row>
    <row r="5" spans="2:6" ht="15.75">
      <c r="B5" s="2" t="s">
        <v>3</v>
      </c>
      <c r="C5" s="3"/>
      <c r="D5" s="3"/>
      <c r="E5" s="3"/>
      <c r="F5" s="3"/>
    </row>
    <row r="6" spans="2:6" ht="15.75">
      <c r="B6" s="2"/>
      <c r="C6" s="3"/>
      <c r="D6" s="3"/>
      <c r="E6" s="3"/>
      <c r="F6" s="3"/>
    </row>
    <row r="7" spans="2:6" ht="15.75">
      <c r="B7" s="364" t="s">
        <v>595</v>
      </c>
      <c r="C7" s="364"/>
      <c r="D7" s="3"/>
      <c r="E7" s="3"/>
      <c r="F7" s="3"/>
    </row>
    <row r="8" spans="2:6" ht="15.75">
      <c r="B8" s="4"/>
      <c r="C8" s="3"/>
      <c r="D8" s="3"/>
      <c r="E8" s="3"/>
      <c r="F8" s="3"/>
    </row>
    <row r="9" spans="2:6" ht="7.5" customHeight="1">
      <c r="B9" s="3"/>
      <c r="C9" s="3"/>
      <c r="D9" s="3"/>
      <c r="E9" s="3"/>
      <c r="F9" s="3"/>
    </row>
    <row r="10" spans="2:6" ht="15" customHeight="1">
      <c r="B10" s="3"/>
      <c r="C10" s="3"/>
      <c r="D10" s="3"/>
      <c r="E10" s="62" t="s">
        <v>4</v>
      </c>
      <c r="F10" s="3"/>
    </row>
    <row r="11" spans="2:6" ht="1.5" customHeight="1" hidden="1">
      <c r="B11" s="3"/>
      <c r="C11" s="3"/>
      <c r="D11" s="3"/>
      <c r="E11" s="3"/>
      <c r="F11" s="3"/>
    </row>
    <row r="12" spans="2:6" ht="15.75" thickBot="1">
      <c r="B12" s="3"/>
      <c r="C12" s="3"/>
      <c r="D12" s="3"/>
      <c r="E12" s="3"/>
      <c r="F12" s="3"/>
    </row>
    <row r="13" spans="2:6" ht="48" thickBot="1">
      <c r="B13" s="5" t="s">
        <v>5</v>
      </c>
      <c r="C13" s="6" t="s">
        <v>6</v>
      </c>
      <c r="D13" s="6" t="s">
        <v>7</v>
      </c>
      <c r="E13" s="6" t="s">
        <v>8</v>
      </c>
      <c r="F13" s="3"/>
    </row>
    <row r="14" spans="2:6" ht="16.5" thickBot="1">
      <c r="B14" s="7" t="s">
        <v>9</v>
      </c>
      <c r="C14" s="8"/>
      <c r="D14" s="8"/>
      <c r="E14" s="8"/>
      <c r="F14" s="3"/>
    </row>
    <row r="15" spans="2:6" ht="16.5" thickBot="1">
      <c r="B15" s="7" t="s">
        <v>10</v>
      </c>
      <c r="C15" s="8">
        <v>10</v>
      </c>
      <c r="D15" s="75">
        <f>осв07!F6/1000</f>
        <v>1820715.06494</v>
      </c>
      <c r="E15" s="76">
        <v>1720310</v>
      </c>
      <c r="F15" s="3"/>
    </row>
    <row r="16" spans="2:6" ht="32.25" thickBot="1">
      <c r="B16" s="7" t="s">
        <v>11</v>
      </c>
      <c r="C16" s="8">
        <v>11</v>
      </c>
      <c r="D16" s="10"/>
      <c r="E16" s="9"/>
      <c r="F16" s="3"/>
    </row>
    <row r="17" spans="2:6" ht="16.5" thickBot="1">
      <c r="B17" s="7" t="s">
        <v>12</v>
      </c>
      <c r="C17" s="8">
        <v>12</v>
      </c>
      <c r="D17" s="10"/>
      <c r="E17" s="9"/>
      <c r="F17" s="3"/>
    </row>
    <row r="18" spans="2:6" ht="48" thickBot="1">
      <c r="B18" s="7" t="s">
        <v>13</v>
      </c>
      <c r="C18" s="8">
        <v>13</v>
      </c>
      <c r="D18" s="10"/>
      <c r="E18" s="9"/>
      <c r="F18" s="3"/>
    </row>
    <row r="19" spans="2:6" ht="32.25" thickBot="1">
      <c r="B19" s="7" t="s">
        <v>14</v>
      </c>
      <c r="C19" s="8">
        <v>14</v>
      </c>
      <c r="D19" s="10"/>
      <c r="E19" s="9"/>
      <c r="F19" s="3"/>
    </row>
    <row r="20" spans="2:6" ht="32.25" thickBot="1">
      <c r="B20" s="7" t="s">
        <v>15</v>
      </c>
      <c r="C20" s="8">
        <v>15</v>
      </c>
      <c r="D20" s="10"/>
      <c r="E20" s="9"/>
      <c r="F20" s="3"/>
    </row>
    <row r="21" spans="2:9" ht="32.25" thickBot="1">
      <c r="B21" s="7" t="s">
        <v>16</v>
      </c>
      <c r="C21" s="8">
        <v>16</v>
      </c>
      <c r="D21" s="16">
        <f>(осв07!F15+осв07!F16+осв07!F18+осв07!F25-осв07!G30+осв07!F19+осв07!F49+осв07!F50-осв07!G31)/1000</f>
        <v>378685.4841400001</v>
      </c>
      <c r="E21" s="16">
        <v>781327</v>
      </c>
      <c r="F21" s="3"/>
      <c r="G21" s="51"/>
      <c r="I21" s="51"/>
    </row>
    <row r="22" spans="2:7" ht="16.5" thickBot="1">
      <c r="B22" s="7" t="s">
        <v>17</v>
      </c>
      <c r="C22" s="8">
        <v>17</v>
      </c>
      <c r="D22" s="16">
        <f>осв07!F45/1000</f>
        <v>176.93279</v>
      </c>
      <c r="E22" s="14">
        <v>46123</v>
      </c>
      <c r="F22" s="3"/>
      <c r="G22" s="51"/>
    </row>
    <row r="23" spans="2:7" ht="16.5" thickBot="1">
      <c r="B23" s="7" t="s">
        <v>18</v>
      </c>
      <c r="C23" s="8">
        <v>18</v>
      </c>
      <c r="D23" s="16">
        <f>осв07!F32/1000</f>
        <v>298164.2839</v>
      </c>
      <c r="E23" s="14">
        <v>209303</v>
      </c>
      <c r="F23" s="3"/>
      <c r="G23" s="51"/>
    </row>
    <row r="24" spans="2:7" ht="16.5" thickBot="1">
      <c r="B24" s="7" t="s">
        <v>19</v>
      </c>
      <c r="C24" s="8">
        <v>19</v>
      </c>
      <c r="D24" s="10"/>
      <c r="E24" s="9"/>
      <c r="F24" s="3"/>
      <c r="G24" s="51"/>
    </row>
    <row r="25" spans="2:6" ht="32.25" thickBot="1">
      <c r="B25" s="7" t="s">
        <v>20</v>
      </c>
      <c r="C25" s="8">
        <v>100</v>
      </c>
      <c r="D25" s="72">
        <f>SUM(D15:D24)</f>
        <v>2497741.7657700004</v>
      </c>
      <c r="E25" s="15">
        <f>SUM(E15:E24)</f>
        <v>2757063</v>
      </c>
      <c r="F25" s="3"/>
    </row>
    <row r="26" spans="2:7" ht="32.25" thickBot="1">
      <c r="B26" s="7" t="s">
        <v>21</v>
      </c>
      <c r="C26" s="8">
        <v>101</v>
      </c>
      <c r="D26" s="10"/>
      <c r="E26" s="9"/>
      <c r="F26" s="3"/>
      <c r="G26" s="51"/>
    </row>
    <row r="27" spans="2:7" ht="16.5" thickBot="1">
      <c r="B27" s="7" t="s">
        <v>22</v>
      </c>
      <c r="C27" s="8"/>
      <c r="D27" s="10"/>
      <c r="E27" s="9"/>
      <c r="F27" s="3"/>
      <c r="G27" s="51"/>
    </row>
    <row r="28" spans="2:7" ht="32.25" thickBot="1">
      <c r="B28" s="7" t="s">
        <v>11</v>
      </c>
      <c r="C28" s="8">
        <v>110</v>
      </c>
      <c r="D28" s="10"/>
      <c r="E28" s="9"/>
      <c r="F28" s="3"/>
      <c r="G28" s="51"/>
    </row>
    <row r="29" spans="2:7" ht="16.5" thickBot="1">
      <c r="B29" s="7" t="s">
        <v>12</v>
      </c>
      <c r="C29" s="8">
        <v>111</v>
      </c>
      <c r="D29" s="10"/>
      <c r="E29" s="9"/>
      <c r="F29" s="3"/>
      <c r="G29" s="51"/>
    </row>
    <row r="30" spans="2:7" ht="48" thickBot="1">
      <c r="B30" s="7" t="s">
        <v>13</v>
      </c>
      <c r="C30" s="8">
        <v>112</v>
      </c>
      <c r="D30" s="10"/>
      <c r="E30" s="9"/>
      <c r="F30" s="3"/>
      <c r="G30" s="51"/>
    </row>
    <row r="31" spans="2:7" ht="32.25" thickBot="1">
      <c r="B31" s="7" t="s">
        <v>14</v>
      </c>
      <c r="C31" s="8">
        <v>113</v>
      </c>
      <c r="D31" s="10"/>
      <c r="E31" s="9"/>
      <c r="F31" s="3"/>
      <c r="G31" s="51"/>
    </row>
    <row r="32" spans="2:7" ht="16.5" thickBot="1">
      <c r="B32" s="7" t="s">
        <v>23</v>
      </c>
      <c r="C32" s="8">
        <v>114</v>
      </c>
      <c r="D32" s="10"/>
      <c r="E32" s="9"/>
      <c r="F32" s="3"/>
      <c r="G32" s="244"/>
    </row>
    <row r="33" spans="2:7" ht="32.25" thickBot="1">
      <c r="B33" s="7" t="s">
        <v>24</v>
      </c>
      <c r="C33" s="8">
        <v>115</v>
      </c>
      <c r="D33" s="10"/>
      <c r="E33" s="9"/>
      <c r="F33" s="3"/>
      <c r="G33" s="51"/>
    </row>
    <row r="34" spans="2:7" ht="32.25" thickBot="1">
      <c r="B34" s="7" t="s">
        <v>25</v>
      </c>
      <c r="C34" s="8">
        <v>116</v>
      </c>
      <c r="D34" s="10"/>
      <c r="E34" s="9"/>
      <c r="F34" s="3"/>
      <c r="G34" s="51"/>
    </row>
    <row r="35" spans="2:6" ht="16.5" thickBot="1">
      <c r="B35" s="7" t="s">
        <v>26</v>
      </c>
      <c r="C35" s="8">
        <v>117</v>
      </c>
      <c r="D35" s="10"/>
      <c r="E35" s="10"/>
      <c r="F35" s="3"/>
    </row>
    <row r="36" spans="2:8" ht="16.5" thickBot="1">
      <c r="B36" s="7" t="s">
        <v>27</v>
      </c>
      <c r="C36" s="8">
        <v>118</v>
      </c>
      <c r="D36" s="74">
        <f>(осв07!F59+осв07!F79)/1000-1680</f>
        <v>22194744.69013</v>
      </c>
      <c r="E36" s="74">
        <v>22505247</v>
      </c>
      <c r="F36" s="3"/>
      <c r="H36" s="11"/>
    </row>
    <row r="37" spans="2:6" ht="16.5" thickBot="1">
      <c r="B37" s="7" t="s">
        <v>28</v>
      </c>
      <c r="C37" s="8">
        <v>119</v>
      </c>
      <c r="D37" s="10"/>
      <c r="E37" s="10"/>
      <c r="F37" s="3"/>
    </row>
    <row r="38" spans="2:6" ht="16.5" thickBot="1">
      <c r="B38" s="7" t="s">
        <v>29</v>
      </c>
      <c r="C38" s="8">
        <v>120</v>
      </c>
      <c r="D38" s="10"/>
      <c r="E38" s="10"/>
      <c r="F38" s="3"/>
    </row>
    <row r="39" spans="2:6" ht="16.5" thickBot="1">
      <c r="B39" s="7" t="s">
        <v>30</v>
      </c>
      <c r="C39" s="8">
        <v>121</v>
      </c>
      <c r="D39" s="16">
        <f>осв07!F70/1000</f>
        <v>96408.41238</v>
      </c>
      <c r="E39" s="16">
        <v>109033</v>
      </c>
      <c r="F39" s="3"/>
    </row>
    <row r="40" spans="2:6" ht="16.5" thickBot="1">
      <c r="B40" s="7" t="s">
        <v>31</v>
      </c>
      <c r="C40" s="8">
        <v>122</v>
      </c>
      <c r="D40" s="10"/>
      <c r="E40" s="9"/>
      <c r="F40" s="3"/>
    </row>
    <row r="41" spans="2:6" ht="16.5" thickBot="1">
      <c r="B41" s="7" t="s">
        <v>32</v>
      </c>
      <c r="C41" s="8">
        <v>123</v>
      </c>
      <c r="D41" s="10"/>
      <c r="E41" s="9"/>
      <c r="F41" s="3"/>
    </row>
    <row r="42" spans="2:8" ht="32.25" thickBot="1">
      <c r="B42" s="7" t="s">
        <v>33</v>
      </c>
      <c r="C42" s="8">
        <v>200</v>
      </c>
      <c r="D42" s="52">
        <f>SUM(D28:D41)</f>
        <v>22291153.102509998</v>
      </c>
      <c r="E42" s="15">
        <f>SUM(E33:E41)</f>
        <v>22614280</v>
      </c>
      <c r="F42" s="3"/>
      <c r="G42" s="13"/>
      <c r="H42" s="11"/>
    </row>
    <row r="43" spans="2:7" ht="32.25" thickBot="1">
      <c r="B43" s="7" t="s">
        <v>34</v>
      </c>
      <c r="C43" s="8"/>
      <c r="D43" s="52">
        <f>D25+D42</f>
        <v>24788894.868279997</v>
      </c>
      <c r="E43" s="15">
        <f>E25+E42</f>
        <v>25371343</v>
      </c>
      <c r="F43" s="3"/>
      <c r="G43" s="11"/>
    </row>
    <row r="44" spans="2:6" ht="48" thickBot="1">
      <c r="B44" s="7" t="s">
        <v>35</v>
      </c>
      <c r="C44" s="8" t="s">
        <v>6</v>
      </c>
      <c r="D44" s="10" t="s">
        <v>7</v>
      </c>
      <c r="E44" s="9" t="s">
        <v>8</v>
      </c>
      <c r="F44" s="3"/>
    </row>
    <row r="45" spans="2:6" ht="16.5" thickBot="1">
      <c r="B45" s="7" t="s">
        <v>36</v>
      </c>
      <c r="C45" s="8"/>
      <c r="D45" s="10"/>
      <c r="E45" s="9"/>
      <c r="F45" s="3"/>
    </row>
    <row r="46" spans="2:6" ht="16.5" thickBot="1">
      <c r="B46" s="7" t="s">
        <v>37</v>
      </c>
      <c r="C46" s="8">
        <v>210</v>
      </c>
      <c r="D46" s="10"/>
      <c r="E46" s="9"/>
      <c r="F46" s="3"/>
    </row>
    <row r="47" spans="2:6" ht="16.5" thickBot="1">
      <c r="B47" s="7" t="s">
        <v>12</v>
      </c>
      <c r="C47" s="8">
        <v>211</v>
      </c>
      <c r="D47" s="10"/>
      <c r="E47" s="9"/>
      <c r="F47" s="3"/>
    </row>
    <row r="48" spans="2:7" ht="32.25" thickBot="1">
      <c r="B48" s="7" t="s">
        <v>38</v>
      </c>
      <c r="C48" s="8">
        <v>212</v>
      </c>
      <c r="D48" s="10">
        <f>(осв07!G87+осв07!G110-1799809.9)/1000</f>
        <v>214713.83135999998</v>
      </c>
      <c r="E48" s="9">
        <v>1063514</v>
      </c>
      <c r="F48" s="3"/>
      <c r="G48" s="11"/>
    </row>
    <row r="49" spans="2:10" ht="32.25" thickBot="1">
      <c r="B49" s="7" t="s">
        <v>39</v>
      </c>
      <c r="C49" s="8">
        <v>213</v>
      </c>
      <c r="D49" s="10">
        <f>(осв07!G84+осв07!G103+осв07!G122)/1000-1680</f>
        <v>1286056.56983</v>
      </c>
      <c r="E49" s="9">
        <v>2878485</v>
      </c>
      <c r="F49" s="3"/>
      <c r="J49" s="11"/>
    </row>
    <row r="50" spans="2:6" ht="16.5" thickBot="1">
      <c r="B50" s="7" t="s">
        <v>40</v>
      </c>
      <c r="C50" s="8">
        <v>214</v>
      </c>
      <c r="D50" s="10">
        <f>(осв07!G120-1574000)/1000</f>
        <v>123047.914</v>
      </c>
      <c r="E50" s="9">
        <v>111410</v>
      </c>
      <c r="F50" s="3"/>
    </row>
    <row r="51" spans="2:8" ht="32.25" thickBot="1">
      <c r="B51" s="7" t="s">
        <v>41</v>
      </c>
      <c r="C51" s="8">
        <v>215</v>
      </c>
      <c r="D51" s="10"/>
      <c r="E51" s="10"/>
      <c r="F51" s="3"/>
      <c r="H51" s="11"/>
    </row>
    <row r="52" spans="2:6" ht="16.5" thickBot="1">
      <c r="B52" s="7" t="s">
        <v>42</v>
      </c>
      <c r="C52" s="8">
        <v>216</v>
      </c>
      <c r="D52" s="10">
        <f>осв07!G108/1000</f>
        <v>59505.28417</v>
      </c>
      <c r="E52" s="9">
        <v>38815</v>
      </c>
      <c r="F52" s="3"/>
    </row>
    <row r="53" spans="2:8" ht="16.5" thickBot="1">
      <c r="B53" s="7" t="s">
        <v>43</v>
      </c>
      <c r="C53" s="8">
        <v>217</v>
      </c>
      <c r="D53" s="10">
        <f>(осв07!G90+осв07!G99+осв07!G111)/1000+1574</f>
        <v>110829.89959</v>
      </c>
      <c r="E53" s="12">
        <v>28412</v>
      </c>
      <c r="F53" s="3"/>
      <c r="H53" s="51"/>
    </row>
    <row r="54" spans="2:6" ht="32.25" thickBot="1">
      <c r="B54" s="7" t="s">
        <v>44</v>
      </c>
      <c r="C54" s="8">
        <v>300</v>
      </c>
      <c r="D54" s="72">
        <f>SUM(D48:D53)</f>
        <v>1794153.49895</v>
      </c>
      <c r="E54" s="15">
        <f>SUM(E48:E53)</f>
        <v>4120636</v>
      </c>
      <c r="F54" s="3"/>
    </row>
    <row r="55" spans="2:6" ht="32.25" thickBot="1">
      <c r="B55" s="7" t="s">
        <v>45</v>
      </c>
      <c r="C55" s="8">
        <v>301</v>
      </c>
      <c r="D55" s="10"/>
      <c r="E55" s="9"/>
      <c r="F55" s="3"/>
    </row>
    <row r="56" spans="2:6" ht="16.5" thickBot="1">
      <c r="B56" s="7" t="s">
        <v>46</v>
      </c>
      <c r="C56" s="8"/>
      <c r="D56" s="10"/>
      <c r="E56" s="9"/>
      <c r="F56" s="3"/>
    </row>
    <row r="57" spans="2:6" ht="16.5" thickBot="1">
      <c r="B57" s="7" t="s">
        <v>37</v>
      </c>
      <c r="C57" s="8">
        <v>310</v>
      </c>
      <c r="D57" s="10"/>
      <c r="E57" s="9"/>
      <c r="F57" s="3"/>
    </row>
    <row r="58" spans="2:6" ht="16.5" thickBot="1">
      <c r="B58" s="7" t="s">
        <v>12</v>
      </c>
      <c r="C58" s="8">
        <v>311</v>
      </c>
      <c r="D58" s="100"/>
      <c r="E58" s="9"/>
      <c r="F58" s="3"/>
    </row>
    <row r="59" spans="2:6" ht="32.25" thickBot="1">
      <c r="B59" s="7" t="s">
        <v>47</v>
      </c>
      <c r="C59" s="99">
        <v>312</v>
      </c>
      <c r="D59" s="102">
        <f>(осв07!G127-92793138-113969.2)/1000</f>
        <v>3746642.02455</v>
      </c>
      <c r="E59" s="102">
        <v>2166323</v>
      </c>
      <c r="F59" s="3"/>
    </row>
    <row r="60" spans="2:6" ht="32.25" thickBot="1">
      <c r="B60" s="7" t="s">
        <v>48</v>
      </c>
      <c r="C60" s="8">
        <v>313</v>
      </c>
      <c r="D60" s="16"/>
      <c r="E60" s="9"/>
      <c r="F60" s="3"/>
    </row>
    <row r="61" spans="2:6" ht="16.5" thickBot="1">
      <c r="B61" s="7" t="s">
        <v>49</v>
      </c>
      <c r="C61" s="8">
        <v>314</v>
      </c>
      <c r="D61" s="16">
        <f>осв07!G134/1000</f>
        <v>58898.033</v>
      </c>
      <c r="E61" s="14">
        <v>57306</v>
      </c>
      <c r="F61" s="3"/>
    </row>
    <row r="62" spans="2:6" ht="16.5" thickBot="1">
      <c r="B62" s="7" t="s">
        <v>50</v>
      </c>
      <c r="C62" s="8">
        <v>315</v>
      </c>
      <c r="D62" s="16">
        <f>осв07!G136/1000</f>
        <v>2842317.696</v>
      </c>
      <c r="E62" s="16">
        <v>2865933</v>
      </c>
      <c r="F62" s="55"/>
    </row>
    <row r="63" spans="2:6" ht="16.5" thickBot="1">
      <c r="B63" s="7" t="s">
        <v>51</v>
      </c>
      <c r="C63" s="8">
        <v>316</v>
      </c>
      <c r="D63" s="16">
        <f>осв07!G130/1000</f>
        <v>1674594.52929</v>
      </c>
      <c r="E63" s="14">
        <v>1708160</v>
      </c>
      <c r="F63" s="3"/>
    </row>
    <row r="64" spans="2:6" ht="32.25" thickBot="1">
      <c r="B64" s="7" t="s">
        <v>52</v>
      </c>
      <c r="C64" s="8">
        <v>400</v>
      </c>
      <c r="D64" s="15">
        <f>SUM(D57:D63)</f>
        <v>8322452.28284</v>
      </c>
      <c r="E64" s="15">
        <f>SUM(E57:E63)</f>
        <v>6797722</v>
      </c>
      <c r="F64" s="3"/>
    </row>
    <row r="65" spans="2:6" ht="16.5" thickBot="1">
      <c r="B65" s="7" t="s">
        <v>53</v>
      </c>
      <c r="C65" s="8"/>
      <c r="D65" s="73"/>
      <c r="E65" s="14"/>
      <c r="F65" s="3"/>
    </row>
    <row r="66" spans="2:7" ht="16.5" thickBot="1">
      <c r="B66" s="7" t="s">
        <v>54</v>
      </c>
      <c r="C66" s="8">
        <v>410</v>
      </c>
      <c r="D66" s="16">
        <f>(осв07!G137+осв07!G143)/1000</f>
        <v>1712761.7765</v>
      </c>
      <c r="E66" s="16">
        <v>1712762</v>
      </c>
      <c r="F66" s="3"/>
      <c r="G66" s="11">
        <f>D66-E66</f>
        <v>-0.22350000008009374</v>
      </c>
    </row>
    <row r="67" spans="2:6" ht="16.5" thickBot="1">
      <c r="B67" s="7" t="s">
        <v>55</v>
      </c>
      <c r="C67" s="8">
        <v>411</v>
      </c>
      <c r="D67" s="73"/>
      <c r="E67" s="14"/>
      <c r="F67" s="3"/>
    </row>
    <row r="68" spans="2:6" ht="32.25" thickBot="1">
      <c r="B68" s="7" t="s">
        <v>56</v>
      </c>
      <c r="C68" s="8">
        <v>412</v>
      </c>
      <c r="D68" s="16">
        <f>'осв от 10.07.2014г'!J138/1000</f>
        <v>-38923.5764</v>
      </c>
      <c r="E68" s="14">
        <v>-38924</v>
      </c>
      <c r="F68" s="3"/>
    </row>
    <row r="69" spans="2:6" ht="16.5" thickBot="1">
      <c r="B69" s="7" t="s">
        <v>57</v>
      </c>
      <c r="C69" s="8">
        <v>413</v>
      </c>
      <c r="D69" s="16">
        <f>'осв от 10.07.2014г'!J142/1000</f>
        <v>7409450.8231999995</v>
      </c>
      <c r="E69" s="16">
        <v>7754455</v>
      </c>
      <c r="F69" s="55"/>
    </row>
    <row r="70" spans="2:8" ht="32.25" thickBot="1">
      <c r="B70" s="7" t="s">
        <v>58</v>
      </c>
      <c r="C70" s="8">
        <v>414</v>
      </c>
      <c r="D70" s="16">
        <f>осв07!G146/1000</f>
        <v>5589000.06319</v>
      </c>
      <c r="E70" s="14">
        <v>5024692</v>
      </c>
      <c r="F70" s="13"/>
      <c r="H70" s="11"/>
    </row>
    <row r="71" spans="2:6" ht="48" thickBot="1">
      <c r="B71" s="7" t="s">
        <v>59</v>
      </c>
      <c r="C71" s="8">
        <v>420</v>
      </c>
      <c r="D71" s="73"/>
      <c r="E71" s="9"/>
      <c r="F71" s="3"/>
    </row>
    <row r="72" spans="2:6" ht="16.5" thickBot="1">
      <c r="B72" s="7" t="s">
        <v>60</v>
      </c>
      <c r="C72" s="8">
        <v>421</v>
      </c>
      <c r="D72" s="77"/>
      <c r="E72" s="10"/>
      <c r="F72" s="3"/>
    </row>
    <row r="73" spans="2:6" ht="16.5" thickBot="1">
      <c r="B73" s="7" t="s">
        <v>61</v>
      </c>
      <c r="C73" s="8">
        <v>500</v>
      </c>
      <c r="D73" s="15">
        <f>SUM(D66:D72)</f>
        <v>14672289.08649</v>
      </c>
      <c r="E73" s="15">
        <f>SUM(E66:E72)</f>
        <v>14452985</v>
      </c>
      <c r="F73" s="3"/>
    </row>
    <row r="74" spans="2:8" ht="32.25" thickBot="1">
      <c r="B74" s="7" t="s">
        <v>62</v>
      </c>
      <c r="C74" s="8"/>
      <c r="D74" s="15">
        <f>D54+D64+D73</f>
        <v>24788894.86828</v>
      </c>
      <c r="E74" s="15">
        <f>E54+E64+E73</f>
        <v>25371343</v>
      </c>
      <c r="F74" s="3"/>
      <c r="H74" s="11"/>
    </row>
    <row r="75" spans="2:6" ht="15">
      <c r="B75" s="3"/>
      <c r="C75" s="3"/>
      <c r="D75" s="13"/>
      <c r="E75" s="3"/>
      <c r="F75" s="3"/>
    </row>
    <row r="76" spans="2:6" ht="15">
      <c r="B76" s="3"/>
      <c r="C76" s="3"/>
      <c r="D76" s="13">
        <f>D43-D74</f>
        <v>0</v>
      </c>
      <c r="E76" s="13"/>
      <c r="F76" s="3"/>
    </row>
    <row r="77" spans="2:6" ht="15">
      <c r="B77" s="3"/>
      <c r="C77" s="3"/>
      <c r="D77" s="13"/>
      <c r="E77" s="3"/>
      <c r="F77" s="3"/>
    </row>
    <row r="78" spans="2:6" ht="15">
      <c r="B78" s="3" t="s">
        <v>63</v>
      </c>
      <c r="C78" s="3"/>
      <c r="D78" s="13"/>
      <c r="E78" s="3"/>
      <c r="F78" s="3"/>
    </row>
    <row r="79" spans="2:6" ht="15">
      <c r="B79" s="3"/>
      <c r="C79" s="3"/>
      <c r="D79" s="13"/>
      <c r="E79" s="3"/>
      <c r="F79" s="3"/>
    </row>
    <row r="80" spans="2:6" ht="15">
      <c r="B80" s="3" t="s">
        <v>64</v>
      </c>
      <c r="C80" s="3"/>
      <c r="D80" s="3"/>
      <c r="E80" s="3"/>
      <c r="F80" s="3"/>
    </row>
  </sheetData>
  <sheetProtection/>
  <mergeCells count="1">
    <mergeCell ref="B7:C7"/>
  </mergeCells>
  <printOptions/>
  <pageMargins left="0.75" right="0.75" top="1" bottom="0.42" header="0.5" footer="0.5"/>
  <pageSetup horizontalDpi="600" verticalDpi="600" orientation="portrait" paperSize="9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85">
      <selection activeCell="E20" sqref="E20"/>
    </sheetView>
  </sheetViews>
  <sheetFormatPr defaultColWidth="8.75390625" defaultRowHeight="12.75" outlineLevelRow="2"/>
  <cols>
    <col min="1" max="1" width="30.875" style="89" customWidth="1"/>
    <col min="2" max="3" width="16.125" style="89" customWidth="1"/>
    <col min="4" max="4" width="24.25390625" style="89" customWidth="1"/>
    <col min="5" max="5" width="24.75390625" style="89" customWidth="1"/>
    <col min="6" max="6" width="25.625" style="89" customWidth="1"/>
    <col min="7" max="7" width="16.125" style="89" customWidth="1"/>
    <col min="8" max="9" width="8.75390625" style="0" customWidth="1"/>
    <col min="10" max="10" width="16.875" style="0" customWidth="1"/>
    <col min="11" max="11" width="13.625" style="0" bestFit="1" customWidth="1"/>
    <col min="12" max="12" width="8.75390625" style="0" customWidth="1"/>
    <col min="13" max="13" width="17.625" style="0" customWidth="1"/>
  </cols>
  <sheetData>
    <row r="1" ht="12.75" customHeight="1">
      <c r="A1" s="88" t="s">
        <v>195</v>
      </c>
    </row>
    <row r="2" ht="15.75" customHeight="1">
      <c r="A2" s="90" t="s">
        <v>648</v>
      </c>
    </row>
    <row r="3" spans="1:2" ht="10.5" customHeight="1">
      <c r="A3" s="89" t="s">
        <v>196</v>
      </c>
      <c r="B3" s="89" t="s">
        <v>197</v>
      </c>
    </row>
    <row r="4" spans="1:7" ht="12" customHeight="1">
      <c r="A4" s="377" t="s">
        <v>198</v>
      </c>
      <c r="B4" s="378" t="s">
        <v>199</v>
      </c>
      <c r="C4" s="378"/>
      <c r="D4" s="378" t="s">
        <v>200</v>
      </c>
      <c r="E4" s="378"/>
      <c r="F4" s="378" t="s">
        <v>201</v>
      </c>
      <c r="G4" s="378"/>
    </row>
    <row r="5" spans="1:7" ht="12" customHeight="1">
      <c r="A5" s="377"/>
      <c r="B5" s="301" t="s">
        <v>191</v>
      </c>
      <c r="C5" s="301" t="s">
        <v>192</v>
      </c>
      <c r="D5" s="301" t="s">
        <v>191</v>
      </c>
      <c r="E5" s="301" t="s">
        <v>192</v>
      </c>
      <c r="F5" s="301" t="s">
        <v>191</v>
      </c>
      <c r="G5" s="301" t="s">
        <v>192</v>
      </c>
    </row>
    <row r="6" spans="1:7" ht="12" customHeight="1">
      <c r="A6" s="106" t="s">
        <v>202</v>
      </c>
      <c r="B6" s="302">
        <v>1720310395.96</v>
      </c>
      <c r="C6" s="108"/>
      <c r="D6" s="302">
        <v>55956427164.85001</v>
      </c>
      <c r="E6" s="302">
        <v>55037305423.64</v>
      </c>
      <c r="F6" s="302">
        <v>2639432137.17</v>
      </c>
      <c r="G6" s="108"/>
    </row>
    <row r="7" spans="1:7" ht="24" customHeight="1" outlineLevel="1">
      <c r="A7" s="109" t="s">
        <v>203</v>
      </c>
      <c r="B7" s="110">
        <v>272999.13</v>
      </c>
      <c r="C7" s="111"/>
      <c r="D7" s="110">
        <v>48238723.32</v>
      </c>
      <c r="E7" s="110">
        <v>46830732.28</v>
      </c>
      <c r="F7" s="110">
        <v>1680990.17</v>
      </c>
      <c r="G7" s="111"/>
    </row>
    <row r="8" spans="1:7" ht="24" customHeight="1" outlineLevel="1">
      <c r="A8" s="112" t="s">
        <v>204</v>
      </c>
      <c r="B8" s="113">
        <v>19156927.68</v>
      </c>
      <c r="C8" s="114"/>
      <c r="D8" s="113">
        <v>27780000</v>
      </c>
      <c r="E8" s="113">
        <v>17156927.68</v>
      </c>
      <c r="F8" s="113">
        <v>29780000</v>
      </c>
      <c r="G8" s="114"/>
    </row>
    <row r="9" spans="1:7" ht="24" customHeight="1" outlineLevel="2">
      <c r="A9" s="115" t="s">
        <v>205</v>
      </c>
      <c r="B9" s="110">
        <v>19156927.68</v>
      </c>
      <c r="C9" s="111"/>
      <c r="D9" s="110">
        <v>27780000</v>
      </c>
      <c r="E9" s="110">
        <v>17156927.68</v>
      </c>
      <c r="F9" s="110">
        <v>29780000</v>
      </c>
      <c r="G9" s="111"/>
    </row>
    <row r="10" spans="1:7" ht="24" customHeight="1" outlineLevel="1">
      <c r="A10" s="112" t="s">
        <v>206</v>
      </c>
      <c r="B10" s="113">
        <v>1700880469.15</v>
      </c>
      <c r="C10" s="114"/>
      <c r="D10" s="113">
        <v>36423246771.53</v>
      </c>
      <c r="E10" s="113">
        <v>36496156093.68</v>
      </c>
      <c r="F10" s="113">
        <v>1627971147</v>
      </c>
      <c r="G10" s="114"/>
    </row>
    <row r="11" spans="1:7" ht="24" customHeight="1" outlineLevel="2">
      <c r="A11" s="115" t="s">
        <v>207</v>
      </c>
      <c r="B11" s="110">
        <v>1700880469.15</v>
      </c>
      <c r="C11" s="111"/>
      <c r="D11" s="110">
        <v>36423246771.53</v>
      </c>
      <c r="E11" s="110">
        <v>36496156093.68</v>
      </c>
      <c r="F11" s="110">
        <v>1627971147</v>
      </c>
      <c r="G11" s="111"/>
    </row>
    <row r="12" spans="1:7" ht="24" customHeight="1" outlineLevel="1">
      <c r="A12" s="112" t="s">
        <v>384</v>
      </c>
      <c r="B12" s="114"/>
      <c r="C12" s="114"/>
      <c r="D12" s="113">
        <v>19457161670</v>
      </c>
      <c r="E12" s="113">
        <v>18477161670</v>
      </c>
      <c r="F12" s="113">
        <v>980000000</v>
      </c>
      <c r="G12" s="114"/>
    </row>
    <row r="13" spans="1:7" ht="36" customHeight="1" outlineLevel="2">
      <c r="A13" s="115" t="s">
        <v>385</v>
      </c>
      <c r="B13" s="111"/>
      <c r="C13" s="111"/>
      <c r="D13" s="110">
        <v>19457161670</v>
      </c>
      <c r="E13" s="110">
        <v>18477161670</v>
      </c>
      <c r="F13" s="110">
        <v>980000000</v>
      </c>
      <c r="G13" s="111"/>
    </row>
    <row r="14" spans="1:7" ht="24" customHeight="1">
      <c r="A14" s="106" t="s">
        <v>208</v>
      </c>
      <c r="B14" s="302">
        <v>218607842.51</v>
      </c>
      <c r="C14" s="108"/>
      <c r="D14" s="302">
        <v>7000234048.46</v>
      </c>
      <c r="E14" s="302">
        <v>6990353691.770001</v>
      </c>
      <c r="F14" s="302">
        <v>228488199.2</v>
      </c>
      <c r="G14" s="108"/>
    </row>
    <row r="15" spans="1:7" ht="24" customHeight="1" outlineLevel="1">
      <c r="A15" s="109" t="s">
        <v>209</v>
      </c>
      <c r="B15" s="110">
        <v>17516139.74</v>
      </c>
      <c r="C15" s="111"/>
      <c r="D15" s="110">
        <v>36034049.24</v>
      </c>
      <c r="E15" s="110">
        <v>36830071.88</v>
      </c>
      <c r="F15" s="110">
        <v>16720117.1</v>
      </c>
      <c r="G15" s="111"/>
    </row>
    <row r="16" spans="1:7" ht="24" customHeight="1" outlineLevel="1">
      <c r="A16" s="109" t="s">
        <v>210</v>
      </c>
      <c r="B16" s="111"/>
      <c r="C16" s="111"/>
      <c r="D16" s="110">
        <v>74308</v>
      </c>
      <c r="E16" s="110">
        <v>74308</v>
      </c>
      <c r="F16" s="111"/>
      <c r="G16" s="111"/>
    </row>
    <row r="17" spans="1:7" ht="36" customHeight="1" outlineLevel="1">
      <c r="A17" s="112" t="s">
        <v>211</v>
      </c>
      <c r="B17" s="113">
        <v>204392277.75</v>
      </c>
      <c r="C17" s="114"/>
      <c r="D17" s="113">
        <v>6725669631.690001</v>
      </c>
      <c r="E17" s="113">
        <v>6708261692.780001</v>
      </c>
      <c r="F17" s="113">
        <v>221800216.66</v>
      </c>
      <c r="G17" s="114"/>
    </row>
    <row r="18" spans="1:7" ht="36" customHeight="1" outlineLevel="2">
      <c r="A18" s="115" t="s">
        <v>212</v>
      </c>
      <c r="B18" s="110">
        <v>204392277.75</v>
      </c>
      <c r="C18" s="111"/>
      <c r="D18" s="110">
        <v>6725669631.690001</v>
      </c>
      <c r="E18" s="110">
        <v>6708261692.780001</v>
      </c>
      <c r="F18" s="110">
        <v>221800216.66</v>
      </c>
      <c r="G18" s="111"/>
    </row>
    <row r="19" spans="1:7" ht="36" customHeight="1" outlineLevel="1">
      <c r="A19" s="112" t="s">
        <v>213</v>
      </c>
      <c r="B19" s="113">
        <v>1351187.53</v>
      </c>
      <c r="C19" s="114"/>
      <c r="D19" s="113">
        <v>57304937.95</v>
      </c>
      <c r="E19" s="113">
        <v>55321600.11</v>
      </c>
      <c r="F19" s="113">
        <v>3334525.37</v>
      </c>
      <c r="G19" s="114"/>
    </row>
    <row r="20" spans="1:7" ht="36" customHeight="1" outlineLevel="2">
      <c r="A20" s="115" t="s">
        <v>214</v>
      </c>
      <c r="B20" s="110">
        <v>1200341.61</v>
      </c>
      <c r="C20" s="111"/>
      <c r="D20" s="110">
        <v>53860585.95</v>
      </c>
      <c r="E20" s="110">
        <v>53640905.56</v>
      </c>
      <c r="F20" s="110">
        <v>1420022</v>
      </c>
      <c r="G20" s="111"/>
    </row>
    <row r="21" spans="1:7" ht="36" customHeight="1" outlineLevel="2">
      <c r="A21" s="115" t="s">
        <v>215</v>
      </c>
      <c r="B21" s="110">
        <v>150845.92</v>
      </c>
      <c r="C21" s="111"/>
      <c r="D21" s="110">
        <v>3238050</v>
      </c>
      <c r="E21" s="110">
        <v>1474392.55</v>
      </c>
      <c r="F21" s="110">
        <v>1914503.37</v>
      </c>
      <c r="G21" s="111"/>
    </row>
    <row r="22" spans="1:7" ht="36" customHeight="1" outlineLevel="2">
      <c r="A22" s="115" t="s">
        <v>216</v>
      </c>
      <c r="B22" s="111"/>
      <c r="C22" s="111"/>
      <c r="D22" s="110">
        <v>206302</v>
      </c>
      <c r="E22" s="110">
        <v>206302</v>
      </c>
      <c r="F22" s="111"/>
      <c r="G22" s="111"/>
    </row>
    <row r="23" spans="1:7" ht="24" customHeight="1" outlineLevel="1">
      <c r="A23" s="112" t="s">
        <v>386</v>
      </c>
      <c r="B23" s="114"/>
      <c r="C23" s="114"/>
      <c r="D23" s="113">
        <v>3092929.16</v>
      </c>
      <c r="E23" s="113">
        <v>3092929.16</v>
      </c>
      <c r="F23" s="114"/>
      <c r="G23" s="114"/>
    </row>
    <row r="24" spans="1:7" ht="36" customHeight="1" outlineLevel="2">
      <c r="A24" s="115" t="s">
        <v>387</v>
      </c>
      <c r="B24" s="111"/>
      <c r="C24" s="111"/>
      <c r="D24" s="110">
        <v>3092929.16</v>
      </c>
      <c r="E24" s="110">
        <v>3092929.16</v>
      </c>
      <c r="F24" s="111"/>
      <c r="G24" s="111"/>
    </row>
    <row r="25" spans="1:7" ht="24" customHeight="1" outlineLevel="1">
      <c r="A25" s="109" t="s">
        <v>217</v>
      </c>
      <c r="B25" s="110">
        <v>24581809.39</v>
      </c>
      <c r="C25" s="111"/>
      <c r="D25" s="110">
        <v>178058192.42</v>
      </c>
      <c r="E25" s="110">
        <v>176238950.35</v>
      </c>
      <c r="F25" s="110">
        <v>26401051.46</v>
      </c>
      <c r="G25" s="111"/>
    </row>
    <row r="26" spans="1:7" ht="24" customHeight="1" outlineLevel="2">
      <c r="A26" s="115" t="s">
        <v>217</v>
      </c>
      <c r="B26" s="110">
        <v>12821531.16</v>
      </c>
      <c r="C26" s="111"/>
      <c r="D26" s="110">
        <v>174984445.95</v>
      </c>
      <c r="E26" s="110">
        <v>176238950.63</v>
      </c>
      <c r="F26" s="110">
        <v>11567026.48</v>
      </c>
      <c r="G26" s="111"/>
    </row>
    <row r="27" spans="1:7" ht="24" customHeight="1" outlineLevel="2">
      <c r="A27" s="115" t="s">
        <v>368</v>
      </c>
      <c r="B27" s="110">
        <v>9372119.23</v>
      </c>
      <c r="C27" s="111"/>
      <c r="D27" s="110">
        <v>3073746.47</v>
      </c>
      <c r="E27" s="111"/>
      <c r="F27" s="110">
        <v>12445865.7</v>
      </c>
      <c r="G27" s="111"/>
    </row>
    <row r="28" spans="1:7" ht="24" customHeight="1" outlineLevel="2">
      <c r="A28" s="115" t="s">
        <v>218</v>
      </c>
      <c r="B28" s="110">
        <v>2388159</v>
      </c>
      <c r="C28" s="111"/>
      <c r="D28" s="111"/>
      <c r="E28" s="117">
        <v>-0.28</v>
      </c>
      <c r="F28" s="110">
        <v>2388159.28</v>
      </c>
      <c r="G28" s="111"/>
    </row>
    <row r="29" spans="1:7" ht="24" customHeight="1" outlineLevel="1">
      <c r="A29" s="112" t="s">
        <v>219</v>
      </c>
      <c r="B29" s="114"/>
      <c r="C29" s="113">
        <v>29233571.9</v>
      </c>
      <c r="D29" s="114"/>
      <c r="E29" s="113">
        <v>10534139.49</v>
      </c>
      <c r="F29" s="114"/>
      <c r="G29" s="113">
        <v>39767711.39</v>
      </c>
    </row>
    <row r="30" spans="1:7" ht="58.5" customHeight="1" outlineLevel="2">
      <c r="A30" s="115" t="s">
        <v>362</v>
      </c>
      <c r="B30" s="111"/>
      <c r="C30" s="110">
        <v>22769018.21</v>
      </c>
      <c r="D30" s="111"/>
      <c r="E30" s="110">
        <v>10534139.49</v>
      </c>
      <c r="F30" s="111"/>
      <c r="G30" s="110">
        <v>33303157.7</v>
      </c>
    </row>
    <row r="31" spans="1:7" ht="58.5" customHeight="1" outlineLevel="2">
      <c r="A31" s="115" t="s">
        <v>363</v>
      </c>
      <c r="B31" s="111"/>
      <c r="C31" s="110">
        <v>6464553.69</v>
      </c>
      <c r="D31" s="111"/>
      <c r="E31" s="111"/>
      <c r="F31" s="111"/>
      <c r="G31" s="110">
        <v>6464553.69</v>
      </c>
    </row>
    <row r="32" spans="1:7" ht="12" customHeight="1">
      <c r="A32" s="106" t="s">
        <v>220</v>
      </c>
      <c r="B32" s="302">
        <v>209302910.32</v>
      </c>
      <c r="C32" s="108"/>
      <c r="D32" s="302">
        <v>2207335266.42</v>
      </c>
      <c r="E32" s="302">
        <v>2163304883.6</v>
      </c>
      <c r="F32" s="302">
        <v>253333293.14</v>
      </c>
      <c r="G32" s="108"/>
    </row>
    <row r="33" spans="1:7" ht="12" customHeight="1" outlineLevel="1">
      <c r="A33" s="112" t="s">
        <v>221</v>
      </c>
      <c r="B33" s="113">
        <v>209259712.67</v>
      </c>
      <c r="C33" s="114"/>
      <c r="D33" s="113">
        <v>448752146.05</v>
      </c>
      <c r="E33" s="113">
        <v>404891283.55</v>
      </c>
      <c r="F33" s="113">
        <v>253120575.17</v>
      </c>
      <c r="G33" s="114"/>
    </row>
    <row r="34" spans="1:7" ht="12" customHeight="1" outlineLevel="2">
      <c r="A34" s="119" t="s">
        <v>221</v>
      </c>
      <c r="B34" s="114"/>
      <c r="C34" s="114"/>
      <c r="D34" s="113">
        <v>365470</v>
      </c>
      <c r="E34" s="114"/>
      <c r="F34" s="113">
        <v>365470</v>
      </c>
      <c r="G34" s="114"/>
    </row>
    <row r="35" spans="1:7" ht="12" customHeight="1" outlineLevel="2">
      <c r="A35" s="115" t="s">
        <v>222</v>
      </c>
      <c r="B35" s="110">
        <v>176712696.49</v>
      </c>
      <c r="C35" s="111"/>
      <c r="D35" s="110">
        <v>275157449.49</v>
      </c>
      <c r="E35" s="110">
        <v>265566280.9</v>
      </c>
      <c r="F35" s="110">
        <v>186303865.08</v>
      </c>
      <c r="G35" s="111"/>
    </row>
    <row r="36" spans="1:7" ht="12" customHeight="1" outlineLevel="2">
      <c r="A36" s="115" t="s">
        <v>223</v>
      </c>
      <c r="B36" s="110">
        <v>2898906.65</v>
      </c>
      <c r="C36" s="111"/>
      <c r="D36" s="110">
        <v>116175609.95</v>
      </c>
      <c r="E36" s="110">
        <v>98887761.97</v>
      </c>
      <c r="F36" s="110">
        <v>20186754.63</v>
      </c>
      <c r="G36" s="111"/>
    </row>
    <row r="37" spans="1:7" ht="12" customHeight="1" outlineLevel="2">
      <c r="A37" s="115" t="s">
        <v>224</v>
      </c>
      <c r="B37" s="110">
        <v>8900605.9</v>
      </c>
      <c r="C37" s="111"/>
      <c r="D37" s="110">
        <v>21507335.49</v>
      </c>
      <c r="E37" s="110">
        <v>12982701.55</v>
      </c>
      <c r="F37" s="110">
        <v>17425239.84</v>
      </c>
      <c r="G37" s="111"/>
    </row>
    <row r="38" spans="1:7" ht="24" customHeight="1" outlineLevel="2">
      <c r="A38" s="115" t="s">
        <v>225</v>
      </c>
      <c r="B38" s="110">
        <v>13471238.32</v>
      </c>
      <c r="C38" s="111"/>
      <c r="D38" s="110">
        <v>18187032.12</v>
      </c>
      <c r="E38" s="110">
        <v>15124390.13</v>
      </c>
      <c r="F38" s="110">
        <v>16533880.31</v>
      </c>
      <c r="G38" s="111"/>
    </row>
    <row r="39" spans="1:7" ht="24" customHeight="1" outlineLevel="2">
      <c r="A39" s="115" t="s">
        <v>226</v>
      </c>
      <c r="B39" s="110">
        <v>15917854.4</v>
      </c>
      <c r="C39" s="111"/>
      <c r="D39" s="110">
        <v>17359249</v>
      </c>
      <c r="E39" s="110">
        <v>12479689.29</v>
      </c>
      <c r="F39" s="110">
        <v>20797414.11</v>
      </c>
      <c r="G39" s="111"/>
    </row>
    <row r="40" spans="1:7" ht="24" customHeight="1" outlineLevel="2">
      <c r="A40" s="115" t="s">
        <v>227</v>
      </c>
      <c r="B40" s="118">
        <v>-8641589.09</v>
      </c>
      <c r="C40" s="111"/>
      <c r="D40" s="111"/>
      <c r="E40" s="118">
        <v>-149540.29</v>
      </c>
      <c r="F40" s="118">
        <v>-8492048.8</v>
      </c>
      <c r="G40" s="111"/>
    </row>
    <row r="41" spans="1:7" ht="12" customHeight="1" outlineLevel="1">
      <c r="A41" s="109" t="s">
        <v>228</v>
      </c>
      <c r="B41" s="111"/>
      <c r="C41" s="111"/>
      <c r="D41" s="110">
        <v>1757397300.24</v>
      </c>
      <c r="E41" s="110">
        <v>1757397300.24</v>
      </c>
      <c r="F41" s="111"/>
      <c r="G41" s="111"/>
    </row>
    <row r="42" spans="1:7" ht="24" customHeight="1" outlineLevel="2">
      <c r="A42" s="115" t="s">
        <v>229</v>
      </c>
      <c r="B42" s="111"/>
      <c r="C42" s="111"/>
      <c r="D42" s="110">
        <v>1757397300.24</v>
      </c>
      <c r="E42" s="110">
        <v>1757397300.24</v>
      </c>
      <c r="F42" s="111"/>
      <c r="G42" s="111"/>
    </row>
    <row r="43" spans="1:7" ht="12" customHeight="1" outlineLevel="1">
      <c r="A43" s="109" t="s">
        <v>230</v>
      </c>
      <c r="B43" s="110">
        <v>43197.65</v>
      </c>
      <c r="C43" s="111"/>
      <c r="D43" s="110">
        <v>1185820.13</v>
      </c>
      <c r="E43" s="110">
        <v>1016299.81</v>
      </c>
      <c r="F43" s="110">
        <v>212717.97</v>
      </c>
      <c r="G43" s="111"/>
    </row>
    <row r="44" spans="1:7" ht="12" customHeight="1">
      <c r="A44" s="106" t="s">
        <v>231</v>
      </c>
      <c r="B44" s="302">
        <v>284516047.67</v>
      </c>
      <c r="C44" s="108"/>
      <c r="D44" s="302">
        <v>372566791.82</v>
      </c>
      <c r="E44" s="302">
        <v>655983486.78</v>
      </c>
      <c r="F44" s="302">
        <v>1099352.71</v>
      </c>
      <c r="G44" s="108"/>
    </row>
    <row r="45" spans="1:7" ht="24" customHeight="1" outlineLevel="1">
      <c r="A45" s="109" t="s">
        <v>232</v>
      </c>
      <c r="B45" s="110">
        <v>46123063.79</v>
      </c>
      <c r="C45" s="111"/>
      <c r="D45" s="111"/>
      <c r="E45" s="110">
        <v>45946131</v>
      </c>
      <c r="F45" s="110">
        <v>176932.79</v>
      </c>
      <c r="G45" s="111"/>
    </row>
    <row r="46" spans="1:7" ht="24" customHeight="1" outlineLevel="1">
      <c r="A46" s="112" t="s">
        <v>233</v>
      </c>
      <c r="B46" s="113">
        <v>238253653.51</v>
      </c>
      <c r="C46" s="114"/>
      <c r="D46" s="113">
        <v>371163585.27</v>
      </c>
      <c r="E46" s="113">
        <v>609417238.78</v>
      </c>
      <c r="F46" s="114"/>
      <c r="G46" s="114"/>
    </row>
    <row r="47" spans="1:7" ht="24" customHeight="1" outlineLevel="2">
      <c r="A47" s="119" t="s">
        <v>233</v>
      </c>
      <c r="B47" s="113">
        <v>5743517.66</v>
      </c>
      <c r="C47" s="114"/>
      <c r="D47" s="114"/>
      <c r="E47" s="114"/>
      <c r="F47" s="113">
        <v>5743517.66</v>
      </c>
      <c r="G47" s="114"/>
    </row>
    <row r="48" spans="1:7" ht="24" customHeight="1" outlineLevel="2">
      <c r="A48" s="115" t="s">
        <v>234</v>
      </c>
      <c r="B48" s="110">
        <v>232510135.85</v>
      </c>
      <c r="C48" s="111"/>
      <c r="D48" s="110">
        <v>371163585.27</v>
      </c>
      <c r="E48" s="110">
        <v>609417238.78</v>
      </c>
      <c r="F48" s="118">
        <v>-5743517.66</v>
      </c>
      <c r="G48" s="111"/>
    </row>
    <row r="49" spans="1:7" ht="36" customHeight="1" outlineLevel="1">
      <c r="A49" s="109" t="s">
        <v>235</v>
      </c>
      <c r="B49" s="110">
        <v>139330.37</v>
      </c>
      <c r="C49" s="111"/>
      <c r="D49" s="110">
        <v>1403206.55</v>
      </c>
      <c r="E49" s="110">
        <v>620117</v>
      </c>
      <c r="F49" s="110">
        <v>922419.92</v>
      </c>
      <c r="G49" s="111"/>
    </row>
    <row r="50" spans="1:7" ht="24" customHeight="1">
      <c r="A50" s="106" t="s">
        <v>236</v>
      </c>
      <c r="B50" s="302">
        <v>324325957.8</v>
      </c>
      <c r="C50" s="108"/>
      <c r="D50" s="302">
        <v>2324024194.65</v>
      </c>
      <c r="E50" s="302">
        <v>2505283031.74</v>
      </c>
      <c r="F50" s="302">
        <v>143067120.71</v>
      </c>
      <c r="G50" s="108"/>
    </row>
    <row r="51" spans="1:7" ht="24" customHeight="1" outlineLevel="1">
      <c r="A51" s="109" t="s">
        <v>237</v>
      </c>
      <c r="B51" s="110">
        <v>316240122.91</v>
      </c>
      <c r="C51" s="111"/>
      <c r="D51" s="110">
        <v>2301982536.65</v>
      </c>
      <c r="E51" s="110">
        <v>2493185536.33</v>
      </c>
      <c r="F51" s="110">
        <v>125037123.23</v>
      </c>
      <c r="G51" s="111"/>
    </row>
    <row r="52" spans="1:7" ht="58.5" customHeight="1" outlineLevel="2">
      <c r="A52" s="115" t="s">
        <v>238</v>
      </c>
      <c r="B52" s="110">
        <v>305345004.42</v>
      </c>
      <c r="C52" s="111"/>
      <c r="D52" s="110">
        <v>2215471763.53</v>
      </c>
      <c r="E52" s="110">
        <v>2406765667.56</v>
      </c>
      <c r="F52" s="110">
        <v>114051100.39</v>
      </c>
      <c r="G52" s="111"/>
    </row>
    <row r="53" spans="1:7" ht="58.5" customHeight="1" outlineLevel="2">
      <c r="A53" s="115" t="s">
        <v>239</v>
      </c>
      <c r="B53" s="110">
        <v>2461902.8</v>
      </c>
      <c r="C53" s="111"/>
      <c r="D53" s="110">
        <v>1779600</v>
      </c>
      <c r="E53" s="110">
        <v>1779600</v>
      </c>
      <c r="F53" s="110">
        <v>2461902.8</v>
      </c>
      <c r="G53" s="111"/>
    </row>
    <row r="54" spans="1:7" ht="58.5" customHeight="1" outlineLevel="2">
      <c r="A54" s="115" t="s">
        <v>240</v>
      </c>
      <c r="B54" s="110">
        <v>8433215.69</v>
      </c>
      <c r="C54" s="111"/>
      <c r="D54" s="110">
        <v>84731173.12</v>
      </c>
      <c r="E54" s="110">
        <v>84640268.77</v>
      </c>
      <c r="F54" s="110">
        <v>8524120.04</v>
      </c>
      <c r="G54" s="111"/>
    </row>
    <row r="55" spans="1:7" ht="24" customHeight="1" outlineLevel="1">
      <c r="A55" s="109" t="s">
        <v>241</v>
      </c>
      <c r="B55" s="110">
        <v>8085834.89</v>
      </c>
      <c r="C55" s="111"/>
      <c r="D55" s="110">
        <v>22041658</v>
      </c>
      <c r="E55" s="110">
        <v>12097495.41</v>
      </c>
      <c r="F55" s="110">
        <v>18029997.48</v>
      </c>
      <c r="G55" s="111"/>
    </row>
    <row r="56" spans="1:7" ht="24" customHeight="1">
      <c r="A56" s="106" t="s">
        <v>242</v>
      </c>
      <c r="B56" s="302">
        <v>110193231.46</v>
      </c>
      <c r="C56" s="108"/>
      <c r="D56" s="302">
        <v>894424.59</v>
      </c>
      <c r="E56" s="302">
        <v>16955596.29</v>
      </c>
      <c r="F56" s="302">
        <v>94132059.76</v>
      </c>
      <c r="G56" s="108"/>
    </row>
    <row r="57" spans="1:7" ht="24" customHeight="1" outlineLevel="1">
      <c r="A57" s="109" t="s">
        <v>243</v>
      </c>
      <c r="B57" s="110">
        <v>110193231.46</v>
      </c>
      <c r="C57" s="111"/>
      <c r="D57" s="110">
        <v>894424.59</v>
      </c>
      <c r="E57" s="110">
        <v>16955596.29</v>
      </c>
      <c r="F57" s="110">
        <v>94132059.76</v>
      </c>
      <c r="G57" s="111"/>
    </row>
    <row r="58" spans="1:7" ht="24" customHeight="1" outlineLevel="2">
      <c r="A58" s="115" t="s">
        <v>244</v>
      </c>
      <c r="B58" s="110">
        <v>110193231.46</v>
      </c>
      <c r="C58" s="111"/>
      <c r="D58" s="110">
        <v>894424.59</v>
      </c>
      <c r="E58" s="110">
        <v>16955596.29</v>
      </c>
      <c r="F58" s="110">
        <v>94132059.76</v>
      </c>
      <c r="G58" s="111"/>
    </row>
    <row r="59" spans="1:7" ht="12" customHeight="1">
      <c r="A59" s="106" t="s">
        <v>245</v>
      </c>
      <c r="B59" s="302">
        <v>22195987908.52</v>
      </c>
      <c r="C59" s="108"/>
      <c r="D59" s="302">
        <v>29032907</v>
      </c>
      <c r="E59" s="302">
        <v>846773993.4</v>
      </c>
      <c r="F59" s="302">
        <v>21378246822.12</v>
      </c>
      <c r="G59" s="108"/>
    </row>
    <row r="60" spans="1:7" ht="24" customHeight="1" outlineLevel="1">
      <c r="A60" s="112" t="s">
        <v>246</v>
      </c>
      <c r="B60" s="113">
        <v>115595496021.02</v>
      </c>
      <c r="C60" s="114"/>
      <c r="D60" s="113">
        <v>28267373</v>
      </c>
      <c r="E60" s="113">
        <v>2745857.4</v>
      </c>
      <c r="F60" s="113">
        <v>115621017536.62</v>
      </c>
      <c r="G60" s="114"/>
    </row>
    <row r="61" spans="1:7" ht="12" customHeight="1" outlineLevel="2">
      <c r="A61" s="115" t="s">
        <v>247</v>
      </c>
      <c r="B61" s="110">
        <v>1972608577.12</v>
      </c>
      <c r="C61" s="111"/>
      <c r="D61" s="110">
        <v>1800000</v>
      </c>
      <c r="E61" s="111"/>
      <c r="F61" s="110">
        <v>1974408577.12</v>
      </c>
      <c r="G61" s="111"/>
    </row>
    <row r="62" spans="1:7" ht="24" customHeight="1" outlineLevel="2">
      <c r="A62" s="115" t="s">
        <v>248</v>
      </c>
      <c r="B62" s="110">
        <v>113053963683.3</v>
      </c>
      <c r="C62" s="111"/>
      <c r="D62" s="110">
        <v>9519923</v>
      </c>
      <c r="E62" s="110">
        <v>2745857.4</v>
      </c>
      <c r="F62" s="110">
        <v>113060737748.9</v>
      </c>
      <c r="G62" s="111"/>
    </row>
    <row r="63" spans="1:7" ht="12" customHeight="1" outlineLevel="2">
      <c r="A63" s="115" t="s">
        <v>249</v>
      </c>
      <c r="B63" s="110">
        <v>364394962.88</v>
      </c>
      <c r="C63" s="111"/>
      <c r="D63" s="111"/>
      <c r="E63" s="111"/>
      <c r="F63" s="110">
        <v>364394962.88</v>
      </c>
      <c r="G63" s="111"/>
    </row>
    <row r="64" spans="1:7" ht="12" customHeight="1" outlineLevel="2">
      <c r="A64" s="115" t="s">
        <v>250</v>
      </c>
      <c r="B64" s="110">
        <v>204528797.72</v>
      </c>
      <c r="C64" s="111"/>
      <c r="D64" s="110">
        <v>16947450</v>
      </c>
      <c r="E64" s="111"/>
      <c r="F64" s="110">
        <v>221476247.72</v>
      </c>
      <c r="G64" s="111"/>
    </row>
    <row r="65" spans="1:7" ht="24" customHeight="1" outlineLevel="1">
      <c r="A65" s="112" t="s">
        <v>251</v>
      </c>
      <c r="B65" s="114"/>
      <c r="C65" s="113">
        <v>93399508112.5</v>
      </c>
      <c r="D65" s="113">
        <v>765534</v>
      </c>
      <c r="E65" s="113">
        <v>844028136</v>
      </c>
      <c r="F65" s="114"/>
      <c r="G65" s="113">
        <v>94242770714.5</v>
      </c>
    </row>
    <row r="66" spans="1:7" ht="24" customHeight="1" outlineLevel="2">
      <c r="A66" s="115" t="s">
        <v>252</v>
      </c>
      <c r="B66" s="111"/>
      <c r="C66" s="110">
        <v>1108046464.26</v>
      </c>
      <c r="D66" s="111"/>
      <c r="E66" s="110">
        <v>27413184</v>
      </c>
      <c r="F66" s="111"/>
      <c r="G66" s="110">
        <v>1135459648.26</v>
      </c>
    </row>
    <row r="67" spans="1:7" ht="36" customHeight="1" outlineLevel="2">
      <c r="A67" s="115" t="s">
        <v>253</v>
      </c>
      <c r="B67" s="111"/>
      <c r="C67" s="110">
        <v>92061093151.36</v>
      </c>
      <c r="D67" s="110">
        <v>765534</v>
      </c>
      <c r="E67" s="110">
        <v>770218032</v>
      </c>
      <c r="F67" s="111"/>
      <c r="G67" s="110">
        <v>92830545649.36002</v>
      </c>
    </row>
    <row r="68" spans="1:7" ht="24" customHeight="1" outlineLevel="2">
      <c r="A68" s="115" t="s">
        <v>254</v>
      </c>
      <c r="B68" s="111"/>
      <c r="C68" s="110">
        <v>149088179.92</v>
      </c>
      <c r="D68" s="111"/>
      <c r="E68" s="110">
        <v>27321155</v>
      </c>
      <c r="F68" s="111"/>
      <c r="G68" s="110">
        <v>176409334.92</v>
      </c>
    </row>
    <row r="69" spans="1:7" ht="24" customHeight="1" outlineLevel="2">
      <c r="A69" s="115" t="s">
        <v>255</v>
      </c>
      <c r="B69" s="111"/>
      <c r="C69" s="110">
        <v>81280316.96</v>
      </c>
      <c r="D69" s="111"/>
      <c r="E69" s="110">
        <v>19075765</v>
      </c>
      <c r="F69" s="111"/>
      <c r="G69" s="110">
        <v>100356081.96</v>
      </c>
    </row>
    <row r="70" spans="1:7" ht="12" customHeight="1">
      <c r="A70" s="106" t="s">
        <v>256</v>
      </c>
      <c r="B70" s="302">
        <v>109033556.93</v>
      </c>
      <c r="C70" s="108"/>
      <c r="D70" s="302">
        <v>396000</v>
      </c>
      <c r="E70" s="302">
        <v>14883215.2</v>
      </c>
      <c r="F70" s="302">
        <v>94546341.73</v>
      </c>
      <c r="G70" s="108"/>
    </row>
    <row r="71" spans="1:7" ht="24" customHeight="1" outlineLevel="1">
      <c r="A71" s="112" t="s">
        <v>257</v>
      </c>
      <c r="B71" s="113">
        <v>150499913.18</v>
      </c>
      <c r="C71" s="114"/>
      <c r="D71" s="113">
        <v>396000</v>
      </c>
      <c r="E71" s="114"/>
      <c r="F71" s="113">
        <v>150895913.18</v>
      </c>
      <c r="G71" s="114"/>
    </row>
    <row r="72" spans="1:7" ht="24" customHeight="1" outlineLevel="2">
      <c r="A72" s="115" t="s">
        <v>258</v>
      </c>
      <c r="B72" s="110">
        <v>140333862.78</v>
      </c>
      <c r="C72" s="111"/>
      <c r="D72" s="110">
        <v>396000</v>
      </c>
      <c r="E72" s="111"/>
      <c r="F72" s="110">
        <v>140729862.78</v>
      </c>
      <c r="G72" s="111"/>
    </row>
    <row r="73" spans="1:7" ht="12" customHeight="1" outlineLevel="2">
      <c r="A73" s="115" t="s">
        <v>259</v>
      </c>
      <c r="B73" s="110">
        <v>4272845.04</v>
      </c>
      <c r="C73" s="111"/>
      <c r="D73" s="111"/>
      <c r="E73" s="111"/>
      <c r="F73" s="110">
        <v>4272845.04</v>
      </c>
      <c r="G73" s="111"/>
    </row>
    <row r="74" spans="1:7" ht="24" customHeight="1" outlineLevel="2">
      <c r="A74" s="115" t="s">
        <v>260</v>
      </c>
      <c r="B74" s="110">
        <v>5893205.36</v>
      </c>
      <c r="C74" s="111"/>
      <c r="D74" s="111"/>
      <c r="E74" s="111"/>
      <c r="F74" s="110">
        <v>5893205.36</v>
      </c>
      <c r="G74" s="111"/>
    </row>
    <row r="75" spans="1:7" ht="24" customHeight="1" outlineLevel="1">
      <c r="A75" s="112" t="s">
        <v>261</v>
      </c>
      <c r="B75" s="114"/>
      <c r="C75" s="113">
        <v>41466356.25</v>
      </c>
      <c r="D75" s="114"/>
      <c r="E75" s="113">
        <v>14883215.2</v>
      </c>
      <c r="F75" s="114"/>
      <c r="G75" s="113">
        <v>56349571.45</v>
      </c>
    </row>
    <row r="76" spans="1:7" ht="24" customHeight="1" outlineLevel="2">
      <c r="A76" s="115" t="s">
        <v>262</v>
      </c>
      <c r="B76" s="111"/>
      <c r="C76" s="110">
        <v>37567691.25</v>
      </c>
      <c r="D76" s="111"/>
      <c r="E76" s="110">
        <v>13868628.88</v>
      </c>
      <c r="F76" s="111"/>
      <c r="G76" s="110">
        <v>51436320.13</v>
      </c>
    </row>
    <row r="77" spans="1:7" ht="24" customHeight="1" outlineLevel="2">
      <c r="A77" s="115" t="s">
        <v>263</v>
      </c>
      <c r="B77" s="111"/>
      <c r="C77" s="110">
        <v>1217088</v>
      </c>
      <c r="D77" s="111"/>
      <c r="E77" s="110">
        <v>425265.92</v>
      </c>
      <c r="F77" s="111"/>
      <c r="G77" s="110">
        <v>1642353.92</v>
      </c>
    </row>
    <row r="78" spans="1:7" ht="24" customHeight="1" outlineLevel="2">
      <c r="A78" s="115" t="s">
        <v>264</v>
      </c>
      <c r="B78" s="111"/>
      <c r="C78" s="110">
        <v>2681577</v>
      </c>
      <c r="D78" s="111"/>
      <c r="E78" s="110">
        <v>589320.4</v>
      </c>
      <c r="F78" s="111"/>
      <c r="G78" s="110">
        <v>3270897.4</v>
      </c>
    </row>
    <row r="79" spans="1:7" ht="24" customHeight="1">
      <c r="A79" s="106" t="s">
        <v>265</v>
      </c>
      <c r="B79" s="302">
        <v>309258710.53</v>
      </c>
      <c r="C79" s="108"/>
      <c r="D79" s="302">
        <v>531540936.02</v>
      </c>
      <c r="E79" s="108"/>
      <c r="F79" s="302">
        <v>840799646.55</v>
      </c>
      <c r="G79" s="108"/>
    </row>
    <row r="80" spans="1:7" ht="24" customHeight="1" outlineLevel="1">
      <c r="A80" s="109" t="s">
        <v>590</v>
      </c>
      <c r="B80" s="111"/>
      <c r="C80" s="111"/>
      <c r="D80" s="110">
        <v>36120000</v>
      </c>
      <c r="E80" s="111"/>
      <c r="F80" s="110">
        <v>36120000</v>
      </c>
      <c r="G80" s="111"/>
    </row>
    <row r="81" spans="1:7" ht="36" customHeight="1" outlineLevel="2">
      <c r="A81" s="115" t="s">
        <v>649</v>
      </c>
      <c r="B81" s="111"/>
      <c r="C81" s="111"/>
      <c r="D81" s="110">
        <v>36120000</v>
      </c>
      <c r="E81" s="111"/>
      <c r="F81" s="110">
        <v>36120000</v>
      </c>
      <c r="G81" s="111"/>
    </row>
    <row r="82" spans="1:7" ht="24" customHeight="1" outlineLevel="1">
      <c r="A82" s="109" t="s">
        <v>266</v>
      </c>
      <c r="B82" s="110">
        <v>309258710.53</v>
      </c>
      <c r="C82" s="111"/>
      <c r="D82" s="110">
        <v>495420936.02</v>
      </c>
      <c r="E82" s="111"/>
      <c r="F82" s="110">
        <v>804679646.55</v>
      </c>
      <c r="G82" s="111"/>
    </row>
    <row r="83" spans="1:7" ht="24" customHeight="1" outlineLevel="2">
      <c r="A83" s="115" t="s">
        <v>267</v>
      </c>
      <c r="B83" s="110">
        <v>309258710.53</v>
      </c>
      <c r="C83" s="111"/>
      <c r="D83" s="110">
        <v>495420936.02</v>
      </c>
      <c r="E83" s="111"/>
      <c r="F83" s="110">
        <v>804679646.55</v>
      </c>
      <c r="G83" s="111"/>
    </row>
    <row r="84" spans="1:10" ht="24" customHeight="1">
      <c r="A84" s="106" t="s">
        <v>268</v>
      </c>
      <c r="B84" s="108"/>
      <c r="C84" s="302">
        <v>1019124171.36</v>
      </c>
      <c r="D84" s="302">
        <v>2255970916.91</v>
      </c>
      <c r="E84" s="302">
        <v>1418433692.64</v>
      </c>
      <c r="F84" s="108"/>
      <c r="G84" s="302">
        <v>181586947.09</v>
      </c>
      <c r="J84" s="51"/>
    </row>
    <row r="85" spans="1:7" ht="48" customHeight="1" outlineLevel="1">
      <c r="A85" s="109" t="s">
        <v>269</v>
      </c>
      <c r="B85" s="111"/>
      <c r="C85" s="110">
        <v>20142102.14</v>
      </c>
      <c r="D85" s="110">
        <v>434223684.46</v>
      </c>
      <c r="E85" s="110">
        <v>428650192.65</v>
      </c>
      <c r="F85" s="111"/>
      <c r="G85" s="110">
        <v>14568610.33</v>
      </c>
    </row>
    <row r="86" spans="1:7" ht="24" customHeight="1" outlineLevel="2">
      <c r="A86" s="115" t="s">
        <v>270</v>
      </c>
      <c r="B86" s="111"/>
      <c r="C86" s="110">
        <v>9366008.67</v>
      </c>
      <c r="D86" s="110">
        <v>428420000</v>
      </c>
      <c r="E86" s="110">
        <v>428420000</v>
      </c>
      <c r="F86" s="111"/>
      <c r="G86" s="110">
        <v>9366008.67</v>
      </c>
    </row>
    <row r="87" spans="1:7" ht="24" customHeight="1" outlineLevel="2">
      <c r="A87" s="115" t="s">
        <v>271</v>
      </c>
      <c r="B87" s="111"/>
      <c r="C87" s="110">
        <v>10776093.47</v>
      </c>
      <c r="D87" s="110">
        <v>5803684.46</v>
      </c>
      <c r="E87" s="110">
        <v>230192.65</v>
      </c>
      <c r="F87" s="111"/>
      <c r="G87" s="110">
        <v>5202601.66</v>
      </c>
    </row>
    <row r="88" spans="1:7" ht="36" customHeight="1" outlineLevel="1">
      <c r="A88" s="112" t="s">
        <v>272</v>
      </c>
      <c r="B88" s="114"/>
      <c r="C88" s="113">
        <v>998982069.22</v>
      </c>
      <c r="D88" s="113">
        <v>1821747232.45</v>
      </c>
      <c r="E88" s="113">
        <v>989783499.99</v>
      </c>
      <c r="F88" s="114"/>
      <c r="G88" s="113">
        <v>167018336.76</v>
      </c>
    </row>
    <row r="89" spans="1:7" ht="36" customHeight="1" outlineLevel="2">
      <c r="A89" s="119" t="s">
        <v>272</v>
      </c>
      <c r="B89" s="114"/>
      <c r="C89" s="113">
        <v>2383127.64</v>
      </c>
      <c r="D89" s="113">
        <v>2383127.64</v>
      </c>
      <c r="E89" s="114"/>
      <c r="F89" s="114"/>
      <c r="G89" s="114"/>
    </row>
    <row r="90" spans="1:7" ht="24" customHeight="1" outlineLevel="2">
      <c r="A90" s="115" t="s">
        <v>364</v>
      </c>
      <c r="B90" s="111"/>
      <c r="C90" s="110">
        <v>996598941.58</v>
      </c>
      <c r="D90" s="110">
        <v>1819364104.81</v>
      </c>
      <c r="E90" s="110">
        <v>989783499.99</v>
      </c>
      <c r="F90" s="111"/>
      <c r="G90" s="110">
        <v>167018336.76</v>
      </c>
    </row>
    <row r="91" spans="1:10" ht="12" customHeight="1">
      <c r="A91" s="106" t="s">
        <v>273</v>
      </c>
      <c r="B91" s="108"/>
      <c r="C91" s="302">
        <v>3747580.45</v>
      </c>
      <c r="D91" s="302">
        <v>1136006871.78</v>
      </c>
      <c r="E91" s="302">
        <v>1232877028.75</v>
      </c>
      <c r="F91" s="108"/>
      <c r="G91" s="302">
        <v>100617737.42</v>
      </c>
      <c r="J91" s="303">
        <f>G91</f>
        <v>100617737.42</v>
      </c>
    </row>
    <row r="92" spans="1:7" ht="36" customHeight="1" outlineLevel="1">
      <c r="A92" s="109" t="s">
        <v>274</v>
      </c>
      <c r="B92" s="111"/>
      <c r="C92" s="111"/>
      <c r="D92" s="110">
        <v>205601871</v>
      </c>
      <c r="E92" s="110">
        <v>205601871</v>
      </c>
      <c r="F92" s="111"/>
      <c r="G92" s="111"/>
    </row>
    <row r="93" spans="1:7" ht="24" customHeight="1" outlineLevel="1">
      <c r="A93" s="109" t="s">
        <v>275</v>
      </c>
      <c r="B93" s="111"/>
      <c r="C93" s="110">
        <v>963140</v>
      </c>
      <c r="D93" s="110">
        <v>51507463.6</v>
      </c>
      <c r="E93" s="110">
        <v>62135676.6</v>
      </c>
      <c r="F93" s="111"/>
      <c r="G93" s="110">
        <v>11591353</v>
      </c>
    </row>
    <row r="94" spans="1:7" ht="24" customHeight="1" outlineLevel="1">
      <c r="A94" s="109" t="s">
        <v>276</v>
      </c>
      <c r="B94" s="111"/>
      <c r="C94" s="111"/>
      <c r="D94" s="110">
        <v>609417238.78</v>
      </c>
      <c r="E94" s="110">
        <v>687742678.2</v>
      </c>
      <c r="F94" s="111"/>
      <c r="G94" s="110">
        <v>78325439.42</v>
      </c>
    </row>
    <row r="95" spans="1:7" ht="12" customHeight="1" outlineLevel="1">
      <c r="A95" s="109" t="s">
        <v>277</v>
      </c>
      <c r="B95" s="111"/>
      <c r="C95" s="110">
        <v>1389288</v>
      </c>
      <c r="D95" s="110">
        <v>41387250</v>
      </c>
      <c r="E95" s="110">
        <v>50698907</v>
      </c>
      <c r="F95" s="111"/>
      <c r="G95" s="110">
        <v>10700945</v>
      </c>
    </row>
    <row r="96" spans="1:7" ht="12" customHeight="1" outlineLevel="1">
      <c r="A96" s="109" t="s">
        <v>278</v>
      </c>
      <c r="B96" s="111"/>
      <c r="C96" s="111"/>
      <c r="D96" s="110">
        <v>4016972</v>
      </c>
      <c r="E96" s="110">
        <v>4016972</v>
      </c>
      <c r="F96" s="111"/>
      <c r="G96" s="111"/>
    </row>
    <row r="97" spans="1:7" ht="24" customHeight="1" outlineLevel="1">
      <c r="A97" s="109" t="s">
        <v>279</v>
      </c>
      <c r="B97" s="111"/>
      <c r="C97" s="110">
        <v>4327</v>
      </c>
      <c r="D97" s="110">
        <v>1617607</v>
      </c>
      <c r="E97" s="110">
        <v>1613280</v>
      </c>
      <c r="F97" s="111"/>
      <c r="G97" s="111"/>
    </row>
    <row r="98" spans="1:7" ht="12" customHeight="1" outlineLevel="1">
      <c r="A98" s="109" t="s">
        <v>280</v>
      </c>
      <c r="B98" s="111"/>
      <c r="C98" s="110">
        <v>1390825.45</v>
      </c>
      <c r="D98" s="110">
        <v>221467573</v>
      </c>
      <c r="E98" s="110">
        <v>220076747.55</v>
      </c>
      <c r="F98" s="111"/>
      <c r="G98" s="111"/>
    </row>
    <row r="99" spans="1:7" ht="12" customHeight="1" outlineLevel="1">
      <c r="A99" s="109" t="s">
        <v>281</v>
      </c>
      <c r="B99" s="111"/>
      <c r="C99" s="111"/>
      <c r="D99" s="110">
        <v>990896.4</v>
      </c>
      <c r="E99" s="110">
        <v>990896.4</v>
      </c>
      <c r="F99" s="111"/>
      <c r="G99" s="111"/>
    </row>
    <row r="100" spans="1:7" ht="36" customHeight="1">
      <c r="A100" s="106" t="s">
        <v>282</v>
      </c>
      <c r="B100" s="108"/>
      <c r="C100" s="302">
        <v>23092639.2</v>
      </c>
      <c r="D100" s="302">
        <v>112380460.57</v>
      </c>
      <c r="E100" s="302">
        <v>104842030.97</v>
      </c>
      <c r="F100" s="108"/>
      <c r="G100" s="302">
        <v>15554209.6</v>
      </c>
    </row>
    <row r="101" spans="1:7" ht="24" customHeight="1" outlineLevel="1">
      <c r="A101" s="109" t="s">
        <v>283</v>
      </c>
      <c r="B101" s="111"/>
      <c r="C101" s="110">
        <v>5123294.09</v>
      </c>
      <c r="D101" s="110">
        <v>30290142.69</v>
      </c>
      <c r="E101" s="110">
        <v>29025490.94</v>
      </c>
      <c r="F101" s="111"/>
      <c r="G101" s="110">
        <v>3858642.34</v>
      </c>
    </row>
    <row r="102" spans="1:7" ht="24" customHeight="1" outlineLevel="1">
      <c r="A102" s="109" t="s">
        <v>284</v>
      </c>
      <c r="B102" s="111"/>
      <c r="C102" s="110">
        <v>17969345.11</v>
      </c>
      <c r="D102" s="110">
        <v>82090317.88</v>
      </c>
      <c r="E102" s="110">
        <v>75816540.03</v>
      </c>
      <c r="F102" s="111"/>
      <c r="G102" s="110">
        <v>11695567.26</v>
      </c>
    </row>
    <row r="103" spans="1:7" ht="24" customHeight="1">
      <c r="A103" s="106" t="s">
        <v>285</v>
      </c>
      <c r="B103" s="108"/>
      <c r="C103" s="302">
        <v>2282985925.42</v>
      </c>
      <c r="D103" s="302">
        <v>6707486960.650001</v>
      </c>
      <c r="E103" s="302">
        <v>5104092223.010001</v>
      </c>
      <c r="F103" s="108"/>
      <c r="G103" s="302">
        <v>679591187.78</v>
      </c>
    </row>
    <row r="104" spans="1:10" ht="36" customHeight="1" outlineLevel="1">
      <c r="A104" s="112" t="s">
        <v>286</v>
      </c>
      <c r="B104" s="114"/>
      <c r="C104" s="113">
        <v>2119618722.12</v>
      </c>
      <c r="D104" s="113">
        <v>5553596657.19</v>
      </c>
      <c r="E104" s="113">
        <v>3976229552.82</v>
      </c>
      <c r="F104" s="114"/>
      <c r="G104" s="113">
        <v>542251617.75</v>
      </c>
      <c r="J104" s="303">
        <f>G104</f>
        <v>542251617.75</v>
      </c>
    </row>
    <row r="105" spans="1:7" ht="12" customHeight="1" outlineLevel="2">
      <c r="A105" s="115" t="s">
        <v>591</v>
      </c>
      <c r="B105" s="111"/>
      <c r="C105" s="111"/>
      <c r="D105" s="111"/>
      <c r="E105" s="110">
        <v>30790</v>
      </c>
      <c r="F105" s="111"/>
      <c r="G105" s="110">
        <v>30790</v>
      </c>
    </row>
    <row r="106" spans="1:7" ht="36" customHeight="1" outlineLevel="2">
      <c r="A106" s="115" t="s">
        <v>287</v>
      </c>
      <c r="B106" s="111"/>
      <c r="C106" s="110">
        <v>29067852.25</v>
      </c>
      <c r="D106" s="110">
        <v>197515389.49</v>
      </c>
      <c r="E106" s="110">
        <v>199814285.2</v>
      </c>
      <c r="F106" s="111"/>
      <c r="G106" s="110">
        <v>31366747.96</v>
      </c>
    </row>
    <row r="107" spans="1:7" ht="36" customHeight="1" outlineLevel="2">
      <c r="A107" s="115" t="s">
        <v>288</v>
      </c>
      <c r="B107" s="111"/>
      <c r="C107" s="110">
        <v>1949796152.84</v>
      </c>
      <c r="D107" s="110">
        <v>2054054405.16</v>
      </c>
      <c r="E107" s="110">
        <v>372267778.52</v>
      </c>
      <c r="F107" s="111"/>
      <c r="G107" s="110">
        <v>268009526.2</v>
      </c>
    </row>
    <row r="108" spans="1:7" ht="36" customHeight="1" outlineLevel="2">
      <c r="A108" s="115" t="s">
        <v>289</v>
      </c>
      <c r="B108" s="111"/>
      <c r="C108" s="110">
        <v>140754717.03</v>
      </c>
      <c r="D108" s="110">
        <v>3302026862.54</v>
      </c>
      <c r="E108" s="110">
        <v>3404116699.1</v>
      </c>
      <c r="F108" s="111"/>
      <c r="G108" s="110">
        <v>242844553.59</v>
      </c>
    </row>
    <row r="109" spans="1:7" ht="24" customHeight="1" outlineLevel="1">
      <c r="A109" s="109" t="s">
        <v>290</v>
      </c>
      <c r="B109" s="111"/>
      <c r="C109" s="110">
        <v>38815311.82</v>
      </c>
      <c r="D109" s="110">
        <v>827655124.55</v>
      </c>
      <c r="E109" s="110">
        <v>847825183.9</v>
      </c>
      <c r="F109" s="111"/>
      <c r="G109" s="110">
        <v>58985371.17</v>
      </c>
    </row>
    <row r="110" spans="1:7" ht="24" customHeight="1" outlineLevel="1">
      <c r="A110" s="109" t="s">
        <v>291</v>
      </c>
      <c r="B110" s="111"/>
      <c r="C110" s="110">
        <v>78368792.12</v>
      </c>
      <c r="D110" s="110">
        <v>180588974.45</v>
      </c>
      <c r="E110" s="110">
        <v>149924885</v>
      </c>
      <c r="F110" s="111"/>
      <c r="G110" s="110">
        <v>47704702.67</v>
      </c>
    </row>
    <row r="111" spans="1:7" ht="24" customHeight="1" outlineLevel="2">
      <c r="A111" s="115" t="s">
        <v>360</v>
      </c>
      <c r="B111" s="111"/>
      <c r="C111" s="110">
        <v>78368792.12</v>
      </c>
      <c r="D111" s="110">
        <v>180588974.45</v>
      </c>
      <c r="E111" s="110">
        <v>149924885</v>
      </c>
      <c r="F111" s="111"/>
      <c r="G111" s="110">
        <v>47704702.67</v>
      </c>
    </row>
    <row r="112" spans="1:7" ht="24" customHeight="1" outlineLevel="1">
      <c r="A112" s="112" t="s">
        <v>292</v>
      </c>
      <c r="B112" s="114"/>
      <c r="C112" s="113">
        <v>46183099.36</v>
      </c>
      <c r="D112" s="113">
        <v>145646204.46</v>
      </c>
      <c r="E112" s="113">
        <v>130112601.29</v>
      </c>
      <c r="F112" s="114"/>
      <c r="G112" s="113">
        <v>30649496.19</v>
      </c>
    </row>
    <row r="113" spans="1:10" ht="36" customHeight="1" outlineLevel="2">
      <c r="A113" s="115" t="s">
        <v>293</v>
      </c>
      <c r="B113" s="111"/>
      <c r="C113" s="110">
        <v>2421554.84</v>
      </c>
      <c r="D113" s="110">
        <v>3119205.15</v>
      </c>
      <c r="E113" s="110">
        <v>2754732.7</v>
      </c>
      <c r="F113" s="111"/>
      <c r="G113" s="110">
        <v>2057082.39</v>
      </c>
      <c r="J113" s="303">
        <f>G88+G111-1799809.9-177631.86</f>
        <v>212745597.67</v>
      </c>
    </row>
    <row r="114" spans="1:7" ht="24" customHeight="1" outlineLevel="2">
      <c r="A114" s="115" t="s">
        <v>294</v>
      </c>
      <c r="B114" s="111"/>
      <c r="C114" s="110">
        <v>1275220</v>
      </c>
      <c r="D114" s="110">
        <v>9126010</v>
      </c>
      <c r="E114" s="110">
        <v>8380598</v>
      </c>
      <c r="F114" s="111"/>
      <c r="G114" s="110">
        <v>529808</v>
      </c>
    </row>
    <row r="115" spans="1:7" ht="24" customHeight="1" outlineLevel="2">
      <c r="A115" s="115" t="s">
        <v>295</v>
      </c>
      <c r="B115" s="111"/>
      <c r="C115" s="110">
        <v>653962</v>
      </c>
      <c r="D115" s="110">
        <v>7461372.27</v>
      </c>
      <c r="E115" s="110">
        <v>7486456.47</v>
      </c>
      <c r="F115" s="111"/>
      <c r="G115" s="110">
        <v>679046.2</v>
      </c>
    </row>
    <row r="116" spans="1:7" ht="24" customHeight="1" outlineLevel="2">
      <c r="A116" s="115" t="s">
        <v>296</v>
      </c>
      <c r="B116" s="111"/>
      <c r="C116" s="110">
        <v>39028331.16</v>
      </c>
      <c r="D116" s="110">
        <v>109782514.04</v>
      </c>
      <c r="E116" s="110">
        <v>95802901.02</v>
      </c>
      <c r="F116" s="111"/>
      <c r="G116" s="110">
        <v>25048718.14</v>
      </c>
    </row>
    <row r="117" spans="1:7" ht="24" customHeight="1" outlineLevel="2">
      <c r="A117" s="115" t="s">
        <v>297</v>
      </c>
      <c r="B117" s="111"/>
      <c r="C117" s="110">
        <v>2118998.36</v>
      </c>
      <c r="D117" s="110">
        <v>13741596</v>
      </c>
      <c r="E117" s="110">
        <v>13323757.1</v>
      </c>
      <c r="F117" s="111"/>
      <c r="G117" s="110">
        <v>1701159.46</v>
      </c>
    </row>
    <row r="118" spans="1:7" ht="24" customHeight="1" outlineLevel="2">
      <c r="A118" s="115" t="s">
        <v>298</v>
      </c>
      <c r="B118" s="111"/>
      <c r="C118" s="110">
        <v>685033</v>
      </c>
      <c r="D118" s="110">
        <v>2415507</v>
      </c>
      <c r="E118" s="110">
        <v>2364156</v>
      </c>
      <c r="F118" s="111"/>
      <c r="G118" s="110">
        <v>633682</v>
      </c>
    </row>
    <row r="119" spans="1:7" ht="24" customHeight="1">
      <c r="A119" s="106" t="s">
        <v>299</v>
      </c>
      <c r="B119" s="108"/>
      <c r="C119" s="302">
        <v>112982721</v>
      </c>
      <c r="D119" s="108"/>
      <c r="E119" s="302">
        <v>11639193</v>
      </c>
      <c r="F119" s="108"/>
      <c r="G119" s="302">
        <v>124621914</v>
      </c>
    </row>
    <row r="120" spans="1:10" ht="36" customHeight="1" outlineLevel="1">
      <c r="A120" s="109" t="s">
        <v>300</v>
      </c>
      <c r="B120" s="111"/>
      <c r="C120" s="110">
        <v>112982721</v>
      </c>
      <c r="D120" s="111"/>
      <c r="E120" s="110">
        <v>11639193</v>
      </c>
      <c r="F120" s="111"/>
      <c r="G120" s="110">
        <v>124621914</v>
      </c>
      <c r="J120" s="304">
        <f>1574000</f>
        <v>1574000</v>
      </c>
    </row>
    <row r="121" spans="1:7" ht="36" customHeight="1" outlineLevel="2">
      <c r="A121" s="115" t="s">
        <v>361</v>
      </c>
      <c r="B121" s="111"/>
      <c r="C121" s="110">
        <v>112982721</v>
      </c>
      <c r="D121" s="111"/>
      <c r="E121" s="110">
        <v>11639193</v>
      </c>
      <c r="F121" s="111"/>
      <c r="G121" s="110">
        <v>124621914</v>
      </c>
    </row>
    <row r="122" spans="1:7" ht="24" customHeight="1">
      <c r="A122" s="106" t="s">
        <v>301</v>
      </c>
      <c r="B122" s="108"/>
      <c r="C122" s="302">
        <v>692541251.43</v>
      </c>
      <c r="D122" s="302">
        <v>5642428853.719999</v>
      </c>
      <c r="E122" s="302">
        <v>5704583934.74</v>
      </c>
      <c r="F122" s="108"/>
      <c r="G122" s="302">
        <v>754696332.45</v>
      </c>
    </row>
    <row r="123" spans="1:7" ht="24" customHeight="1" outlineLevel="1">
      <c r="A123" s="109" t="s">
        <v>302</v>
      </c>
      <c r="B123" s="111"/>
      <c r="C123" s="110">
        <v>692541251.43</v>
      </c>
      <c r="D123" s="110">
        <v>5642428853.719999</v>
      </c>
      <c r="E123" s="110">
        <v>5704583934.74</v>
      </c>
      <c r="F123" s="111"/>
      <c r="G123" s="110">
        <v>754696332.45</v>
      </c>
    </row>
    <row r="124" spans="1:7" ht="24" customHeight="1" outlineLevel="2">
      <c r="A124" s="115" t="s">
        <v>302</v>
      </c>
      <c r="B124" s="111"/>
      <c r="C124" s="110">
        <v>20000</v>
      </c>
      <c r="D124" s="111"/>
      <c r="E124" s="111"/>
      <c r="F124" s="111"/>
      <c r="G124" s="110">
        <v>20000</v>
      </c>
    </row>
    <row r="125" spans="1:7" ht="48" customHeight="1" outlineLevel="2">
      <c r="A125" s="115" t="s">
        <v>303</v>
      </c>
      <c r="B125" s="111"/>
      <c r="C125" s="110">
        <v>666969945.83</v>
      </c>
      <c r="D125" s="110">
        <v>5520472097.75</v>
      </c>
      <c r="E125" s="110">
        <v>5574603733.879999</v>
      </c>
      <c r="F125" s="111"/>
      <c r="G125" s="110">
        <v>721101581.96</v>
      </c>
    </row>
    <row r="126" spans="1:13" ht="12" customHeight="1" outlineLevel="2">
      <c r="A126" s="115" t="s">
        <v>304</v>
      </c>
      <c r="B126" s="111"/>
      <c r="C126" s="110">
        <v>25551305.6</v>
      </c>
      <c r="D126" s="110">
        <v>121956755.97</v>
      </c>
      <c r="E126" s="110">
        <v>129980200.86</v>
      </c>
      <c r="F126" s="111"/>
      <c r="G126" s="110">
        <v>33574750.49</v>
      </c>
      <c r="J126" s="303">
        <f>G85+G100+G109+G112+G120-1574000+G123</f>
        <v>997501933.74</v>
      </c>
      <c r="K126" s="51"/>
      <c r="M126" s="51">
        <f>J126-K126</f>
        <v>997501933.74</v>
      </c>
    </row>
    <row r="127" spans="1:7" ht="24" customHeight="1">
      <c r="A127" s="106" t="s">
        <v>305</v>
      </c>
      <c r="B127" s="108"/>
      <c r="C127" s="302">
        <v>3970838197.16</v>
      </c>
      <c r="D127" s="302">
        <v>736330758.52</v>
      </c>
      <c r="E127" s="302">
        <v>3046656222.4</v>
      </c>
      <c r="F127" s="108"/>
      <c r="G127" s="302">
        <v>6281163661.039999</v>
      </c>
    </row>
    <row r="128" spans="1:10" ht="58.5" customHeight="1" outlineLevel="1">
      <c r="A128" s="109" t="s">
        <v>306</v>
      </c>
      <c r="B128" s="111"/>
      <c r="C128" s="110">
        <v>2262679428.15</v>
      </c>
      <c r="D128" s="110">
        <v>604729222.4</v>
      </c>
      <c r="E128" s="110">
        <v>2948618926</v>
      </c>
      <c r="F128" s="111"/>
      <c r="G128" s="110">
        <v>4606569131.75</v>
      </c>
      <c r="J128" s="303">
        <f>G128-92154618</f>
        <v>4514414513.75</v>
      </c>
    </row>
    <row r="129" spans="1:7" ht="24" customHeight="1" outlineLevel="2">
      <c r="A129" s="115" t="s">
        <v>307</v>
      </c>
      <c r="B129" s="111"/>
      <c r="C129" s="110">
        <v>582679428.15</v>
      </c>
      <c r="D129" s="110">
        <v>604729222.4</v>
      </c>
      <c r="E129" s="110">
        <v>576398926</v>
      </c>
      <c r="F129" s="111"/>
      <c r="G129" s="110">
        <v>554349131.75</v>
      </c>
    </row>
    <row r="130" spans="1:7" ht="12" customHeight="1" outlineLevel="2">
      <c r="A130" s="115" t="s">
        <v>308</v>
      </c>
      <c r="B130" s="111"/>
      <c r="C130" s="110">
        <v>1680000000</v>
      </c>
      <c r="D130" s="111"/>
      <c r="E130" s="110">
        <v>2372220000</v>
      </c>
      <c r="F130" s="111"/>
      <c r="G130" s="110">
        <v>4052220000</v>
      </c>
    </row>
    <row r="131" spans="1:10" ht="24" customHeight="1" outlineLevel="1">
      <c r="A131" s="112" t="s">
        <v>309</v>
      </c>
      <c r="B131" s="114"/>
      <c r="C131" s="113">
        <v>1708158769.01</v>
      </c>
      <c r="D131" s="113">
        <v>131601536.12</v>
      </c>
      <c r="E131" s="113">
        <v>98037296.4</v>
      </c>
      <c r="F131" s="114"/>
      <c r="G131" s="113">
        <v>1674594529.29</v>
      </c>
      <c r="J131" s="303">
        <f>G131</f>
        <v>1674594529.29</v>
      </c>
    </row>
    <row r="132" spans="1:7" ht="24" customHeight="1" outlineLevel="2">
      <c r="A132" s="115" t="s">
        <v>310</v>
      </c>
      <c r="B132" s="111"/>
      <c r="C132" s="110">
        <v>43999948</v>
      </c>
      <c r="D132" s="111"/>
      <c r="E132" s="111"/>
      <c r="F132" s="111"/>
      <c r="G132" s="110">
        <v>43999948</v>
      </c>
    </row>
    <row r="133" spans="1:7" ht="12" customHeight="1" outlineLevel="2">
      <c r="A133" s="115" t="s">
        <v>311</v>
      </c>
      <c r="B133" s="111"/>
      <c r="C133" s="110">
        <v>1664158821.01</v>
      </c>
      <c r="D133" s="110">
        <v>131601536.12</v>
      </c>
      <c r="E133" s="110">
        <v>98037296.4</v>
      </c>
      <c r="F133" s="111"/>
      <c r="G133" s="110">
        <v>1630594581.29</v>
      </c>
    </row>
    <row r="134" spans="1:10" ht="24" customHeight="1">
      <c r="A134" s="106" t="s">
        <v>312</v>
      </c>
      <c r="B134" s="108"/>
      <c r="C134" s="302">
        <v>57306299</v>
      </c>
      <c r="D134" s="108"/>
      <c r="E134" s="302">
        <v>1591734</v>
      </c>
      <c r="F134" s="108"/>
      <c r="G134" s="302">
        <v>58898033</v>
      </c>
      <c r="J134" s="303">
        <f>G134</f>
        <v>58898033</v>
      </c>
    </row>
    <row r="135" spans="1:7" ht="36" customHeight="1" outlineLevel="1">
      <c r="A135" s="109" t="s">
        <v>313</v>
      </c>
      <c r="B135" s="111"/>
      <c r="C135" s="110">
        <v>57306299</v>
      </c>
      <c r="D135" s="111"/>
      <c r="E135" s="110">
        <v>1591734</v>
      </c>
      <c r="F135" s="111"/>
      <c r="G135" s="110">
        <v>58898033</v>
      </c>
    </row>
    <row r="136" spans="1:7" ht="24" customHeight="1">
      <c r="A136" s="106" t="s">
        <v>314</v>
      </c>
      <c r="B136" s="108"/>
      <c r="C136" s="302">
        <v>2865932800</v>
      </c>
      <c r="D136" s="108"/>
      <c r="E136" s="120">
        <v>-23615104</v>
      </c>
      <c r="F136" s="108"/>
      <c r="G136" s="302">
        <v>2842317696</v>
      </c>
    </row>
    <row r="137" spans="1:10" ht="48" customHeight="1" outlineLevel="1">
      <c r="A137" s="109" t="s">
        <v>315</v>
      </c>
      <c r="B137" s="111"/>
      <c r="C137" s="110">
        <v>2865932800</v>
      </c>
      <c r="D137" s="111"/>
      <c r="E137" s="118">
        <v>-23615104</v>
      </c>
      <c r="F137" s="111"/>
      <c r="G137" s="110">
        <v>2842317696</v>
      </c>
      <c r="J137" s="303">
        <f>G137</f>
        <v>2842317696</v>
      </c>
    </row>
    <row r="138" spans="1:10" ht="12" customHeight="1">
      <c r="A138" s="106" t="s">
        <v>316</v>
      </c>
      <c r="B138" s="108"/>
      <c r="C138" s="302">
        <v>1188015776.5</v>
      </c>
      <c r="D138" s="108"/>
      <c r="E138" s="108"/>
      <c r="F138" s="108"/>
      <c r="G138" s="302">
        <v>1188015776.5</v>
      </c>
      <c r="J138" s="303">
        <f>G138</f>
        <v>1188015776.5</v>
      </c>
    </row>
    <row r="139" spans="1:10" ht="12" customHeight="1" outlineLevel="1">
      <c r="A139" s="109" t="s">
        <v>317</v>
      </c>
      <c r="B139" s="111"/>
      <c r="C139" s="110">
        <v>12319172</v>
      </c>
      <c r="D139" s="111"/>
      <c r="E139" s="111"/>
      <c r="F139" s="111"/>
      <c r="G139" s="110">
        <v>12319172</v>
      </c>
      <c r="J139" s="303"/>
    </row>
    <row r="140" spans="1:10" ht="12" customHeight="1" outlineLevel="1">
      <c r="A140" s="109" t="s">
        <v>318</v>
      </c>
      <c r="B140" s="111"/>
      <c r="C140" s="110">
        <v>1175696604.5</v>
      </c>
      <c r="D140" s="111"/>
      <c r="E140" s="111"/>
      <c r="F140" s="111"/>
      <c r="G140" s="110">
        <v>1175696604.5</v>
      </c>
      <c r="J140" s="304"/>
    </row>
    <row r="141" spans="1:10" ht="24" customHeight="1">
      <c r="A141" s="106" t="s">
        <v>319</v>
      </c>
      <c r="B141" s="108"/>
      <c r="C141" s="120">
        <v>-38923576.4</v>
      </c>
      <c r="D141" s="108"/>
      <c r="E141" s="108"/>
      <c r="F141" s="108"/>
      <c r="G141" s="120">
        <v>-38923576.4</v>
      </c>
      <c r="J141" s="303">
        <f>G141</f>
        <v>-38923576.4</v>
      </c>
    </row>
    <row r="142" spans="1:10" ht="24" customHeight="1" outlineLevel="1">
      <c r="A142" s="109" t="s">
        <v>320</v>
      </c>
      <c r="B142" s="111"/>
      <c r="C142" s="118">
        <v>-38923576.4</v>
      </c>
      <c r="D142" s="111"/>
      <c r="E142" s="111"/>
      <c r="F142" s="111"/>
      <c r="G142" s="118">
        <v>-38923576.4</v>
      </c>
      <c r="J142" s="303"/>
    </row>
    <row r="143" spans="1:10" ht="12" customHeight="1">
      <c r="A143" s="106" t="s">
        <v>365</v>
      </c>
      <c r="B143" s="108"/>
      <c r="C143" s="302">
        <v>524746000</v>
      </c>
      <c r="D143" s="108"/>
      <c r="E143" s="108"/>
      <c r="F143" s="108"/>
      <c r="G143" s="302">
        <v>524746000</v>
      </c>
      <c r="J143" s="304"/>
    </row>
    <row r="144" spans="1:10" ht="12" customHeight="1" outlineLevel="1">
      <c r="A144" s="109" t="s">
        <v>366</v>
      </c>
      <c r="B144" s="111"/>
      <c r="C144" s="110">
        <v>524746000</v>
      </c>
      <c r="D144" s="111"/>
      <c r="E144" s="111"/>
      <c r="F144" s="111"/>
      <c r="G144" s="110">
        <v>524746000</v>
      </c>
      <c r="J144" s="303">
        <f>G144</f>
        <v>524746000</v>
      </c>
    </row>
    <row r="145" spans="1:7" ht="12" customHeight="1">
      <c r="A145" s="106" t="s">
        <v>321</v>
      </c>
      <c r="B145" s="108"/>
      <c r="C145" s="302">
        <v>7754455499.2</v>
      </c>
      <c r="D145" s="302">
        <v>345004676</v>
      </c>
      <c r="E145" s="108"/>
      <c r="F145" s="108"/>
      <c r="G145" s="302">
        <v>7409450823.2</v>
      </c>
    </row>
    <row r="146" spans="1:10" ht="36" customHeight="1" outlineLevel="1">
      <c r="A146" s="109" t="s">
        <v>322</v>
      </c>
      <c r="B146" s="111"/>
      <c r="C146" s="110">
        <v>7754455499.2</v>
      </c>
      <c r="D146" s="110">
        <v>345004676</v>
      </c>
      <c r="E146" s="111"/>
      <c r="F146" s="111"/>
      <c r="G146" s="110">
        <v>7409450823.2</v>
      </c>
      <c r="J146" s="303">
        <f>G146</f>
        <v>7409450823.2</v>
      </c>
    </row>
    <row r="147" spans="1:10" ht="24" customHeight="1">
      <c r="A147" s="106" t="s">
        <v>323</v>
      </c>
      <c r="B147" s="108"/>
      <c r="C147" s="302">
        <v>5024691277.38</v>
      </c>
      <c r="D147" s="302">
        <v>1585046259.47</v>
      </c>
      <c r="E147" s="302">
        <v>2111163213.5</v>
      </c>
      <c r="F147" s="108"/>
      <c r="G147" s="302">
        <v>5550808231.410001</v>
      </c>
      <c r="J147" s="303">
        <f>G147</f>
        <v>5550808231.410001</v>
      </c>
    </row>
    <row r="148" spans="1:7" ht="36" customHeight="1" outlineLevel="1">
      <c r="A148" s="109" t="s">
        <v>324</v>
      </c>
      <c r="B148" s="111"/>
      <c r="C148" s="110">
        <v>1156626259.47</v>
      </c>
      <c r="D148" s="110">
        <v>1156626259.47</v>
      </c>
      <c r="E148" s="110">
        <v>609532278.03</v>
      </c>
      <c r="F148" s="111"/>
      <c r="G148" s="110">
        <v>609532278.03</v>
      </c>
    </row>
    <row r="149" spans="1:7" ht="36" customHeight="1" outlineLevel="1">
      <c r="A149" s="109" t="s">
        <v>367</v>
      </c>
      <c r="B149" s="111"/>
      <c r="C149" s="110">
        <v>3868065017.91</v>
      </c>
      <c r="D149" s="110">
        <v>428420000</v>
      </c>
      <c r="E149" s="110">
        <v>1501630935.47</v>
      </c>
      <c r="F149" s="111"/>
      <c r="G149" s="110">
        <v>4941275953.38</v>
      </c>
    </row>
    <row r="150" spans="1:10" ht="24" customHeight="1">
      <c r="A150" s="106" t="s">
        <v>325</v>
      </c>
      <c r="B150" s="108"/>
      <c r="C150" s="108"/>
      <c r="D150" s="302">
        <v>5795706081.429999</v>
      </c>
      <c r="E150" s="302">
        <v>5795706081.429999</v>
      </c>
      <c r="F150" s="108"/>
      <c r="G150" s="108"/>
      <c r="J150" s="51">
        <f>J91+J104+J113+J120+J126+J128+J131+J134+J137+J138+J141+J144+J146+J147</f>
        <v>25579012913.329998</v>
      </c>
    </row>
    <row r="151" spans="1:7" ht="24" customHeight="1" outlineLevel="1">
      <c r="A151" s="109" t="s">
        <v>326</v>
      </c>
      <c r="B151" s="111"/>
      <c r="C151" s="111"/>
      <c r="D151" s="110">
        <v>5795706081.429999</v>
      </c>
      <c r="E151" s="110">
        <v>5795706081.429999</v>
      </c>
      <c r="F151" s="111"/>
      <c r="G151" s="111"/>
    </row>
    <row r="152" spans="1:10" ht="24" customHeight="1">
      <c r="A152" s="106" t="s">
        <v>327</v>
      </c>
      <c r="B152" s="108"/>
      <c r="C152" s="108"/>
      <c r="D152" s="302">
        <v>5704161097.149999</v>
      </c>
      <c r="E152" s="302">
        <v>5704161097.149999</v>
      </c>
      <c r="F152" s="108"/>
      <c r="G152" s="108"/>
      <c r="J152">
        <v>25579012913.33</v>
      </c>
    </row>
    <row r="153" spans="1:7" ht="24" customHeight="1" outlineLevel="1">
      <c r="A153" s="109" t="s">
        <v>328</v>
      </c>
      <c r="B153" s="111"/>
      <c r="C153" s="111"/>
      <c r="D153" s="110">
        <v>5704161097.149999</v>
      </c>
      <c r="E153" s="110">
        <v>5704161097.149999</v>
      </c>
      <c r="F153" s="111"/>
      <c r="G153" s="111"/>
    </row>
    <row r="154" spans="1:10" ht="24" customHeight="1" outlineLevel="2">
      <c r="A154" s="115" t="s">
        <v>328</v>
      </c>
      <c r="B154" s="111"/>
      <c r="C154" s="111"/>
      <c r="D154" s="110">
        <v>357417744.06</v>
      </c>
      <c r="E154" s="110">
        <v>357417744.06</v>
      </c>
      <c r="F154" s="111"/>
      <c r="G154" s="111"/>
      <c r="J154" s="51">
        <f>J150-J152</f>
        <v>0</v>
      </c>
    </row>
    <row r="155" spans="1:7" ht="24" customHeight="1" outlineLevel="2">
      <c r="A155" s="115" t="s">
        <v>329</v>
      </c>
      <c r="B155" s="111"/>
      <c r="C155" s="111"/>
      <c r="D155" s="110">
        <v>5346743353.09</v>
      </c>
      <c r="E155" s="110">
        <v>5346743353.09</v>
      </c>
      <c r="F155" s="111"/>
      <c r="G155" s="111"/>
    </row>
    <row r="156" spans="1:7" ht="12" customHeight="1">
      <c r="A156" s="106" t="s">
        <v>378</v>
      </c>
      <c r="B156" s="108"/>
      <c r="C156" s="108"/>
      <c r="D156" s="302">
        <v>8735654.92</v>
      </c>
      <c r="E156" s="302">
        <v>8735654.92</v>
      </c>
      <c r="F156" s="108"/>
      <c r="G156" s="108"/>
    </row>
    <row r="157" spans="1:7" ht="24" customHeight="1" outlineLevel="1">
      <c r="A157" s="112" t="s">
        <v>379</v>
      </c>
      <c r="B157" s="114"/>
      <c r="C157" s="114"/>
      <c r="D157" s="113">
        <v>8735654.92</v>
      </c>
      <c r="E157" s="113">
        <v>8735654.92</v>
      </c>
      <c r="F157" s="114"/>
      <c r="G157" s="114"/>
    </row>
    <row r="158" spans="1:7" ht="48" customHeight="1" outlineLevel="2">
      <c r="A158" s="115" t="s">
        <v>380</v>
      </c>
      <c r="B158" s="111"/>
      <c r="C158" s="111"/>
      <c r="D158" s="110">
        <v>8735654.92</v>
      </c>
      <c r="E158" s="110">
        <v>8735654.92</v>
      </c>
      <c r="F158" s="111"/>
      <c r="G158" s="111"/>
    </row>
    <row r="159" spans="1:7" ht="12" customHeight="1">
      <c r="A159" s="106" t="s">
        <v>330</v>
      </c>
      <c r="B159" s="108"/>
      <c r="C159" s="108"/>
      <c r="D159" s="302">
        <v>82809329.36</v>
      </c>
      <c r="E159" s="302">
        <v>82809329.36</v>
      </c>
      <c r="F159" s="108"/>
      <c r="G159" s="108"/>
    </row>
    <row r="160" spans="1:7" ht="24" customHeight="1" outlineLevel="1">
      <c r="A160" s="109" t="s">
        <v>388</v>
      </c>
      <c r="B160" s="111"/>
      <c r="C160" s="111"/>
      <c r="D160" s="110">
        <v>598968.01</v>
      </c>
      <c r="E160" s="110">
        <v>598968.01</v>
      </c>
      <c r="F160" s="111"/>
      <c r="G160" s="111"/>
    </row>
    <row r="161" spans="1:7" ht="12" customHeight="1" outlineLevel="1">
      <c r="A161" s="109" t="s">
        <v>331</v>
      </c>
      <c r="B161" s="111"/>
      <c r="C161" s="111"/>
      <c r="D161" s="110">
        <v>82210361.35</v>
      </c>
      <c r="E161" s="110">
        <v>82210361.35</v>
      </c>
      <c r="F161" s="111"/>
      <c r="G161" s="111"/>
    </row>
    <row r="162" spans="1:7" ht="24" customHeight="1">
      <c r="A162" s="106" t="s">
        <v>332</v>
      </c>
      <c r="B162" s="108"/>
      <c r="C162" s="108"/>
      <c r="D162" s="302">
        <v>59359212.6</v>
      </c>
      <c r="E162" s="302">
        <v>59359212.6</v>
      </c>
      <c r="F162" s="108"/>
      <c r="G162" s="108"/>
    </row>
    <row r="163" spans="1:7" ht="24" customHeight="1" outlineLevel="1">
      <c r="A163" s="109" t="s">
        <v>333</v>
      </c>
      <c r="B163" s="111"/>
      <c r="C163" s="111"/>
      <c r="D163" s="110">
        <v>59359212.6</v>
      </c>
      <c r="E163" s="110">
        <v>59359212.6</v>
      </c>
      <c r="F163" s="111"/>
      <c r="G163" s="111"/>
    </row>
    <row r="164" spans="1:7" ht="24" customHeight="1">
      <c r="A164" s="106" t="s">
        <v>334</v>
      </c>
      <c r="B164" s="108"/>
      <c r="C164" s="108"/>
      <c r="D164" s="302">
        <v>622455638.88</v>
      </c>
      <c r="E164" s="302">
        <v>622455638.88</v>
      </c>
      <c r="F164" s="108"/>
      <c r="G164" s="108"/>
    </row>
    <row r="165" spans="1:7" ht="24" customHeight="1" outlineLevel="1">
      <c r="A165" s="109" t="s">
        <v>335</v>
      </c>
      <c r="B165" s="111"/>
      <c r="C165" s="111"/>
      <c r="D165" s="110">
        <v>349786752.34</v>
      </c>
      <c r="E165" s="110">
        <v>349786752.34</v>
      </c>
      <c r="F165" s="111"/>
      <c r="G165" s="111"/>
    </row>
    <row r="166" spans="1:7" ht="36" customHeight="1" outlineLevel="1">
      <c r="A166" s="109" t="s">
        <v>336</v>
      </c>
      <c r="B166" s="111"/>
      <c r="C166" s="111"/>
      <c r="D166" s="110">
        <v>256282817.74</v>
      </c>
      <c r="E166" s="110">
        <v>256282817.74</v>
      </c>
      <c r="F166" s="111"/>
      <c r="G166" s="111"/>
    </row>
    <row r="167" spans="1:7" ht="36" customHeight="1" outlineLevel="1">
      <c r="A167" s="109" t="s">
        <v>337</v>
      </c>
      <c r="B167" s="111"/>
      <c r="C167" s="111"/>
      <c r="D167" s="110">
        <v>16386068.8</v>
      </c>
      <c r="E167" s="110">
        <v>16386068.8</v>
      </c>
      <c r="F167" s="111"/>
      <c r="G167" s="111"/>
    </row>
    <row r="168" spans="1:7" ht="24" customHeight="1">
      <c r="A168" s="106" t="s">
        <v>338</v>
      </c>
      <c r="B168" s="108"/>
      <c r="C168" s="108"/>
      <c r="D168" s="302">
        <v>168255483.55</v>
      </c>
      <c r="E168" s="302">
        <v>168255483.55</v>
      </c>
      <c r="F168" s="108"/>
      <c r="G168" s="108"/>
    </row>
    <row r="169" spans="1:7" ht="24" customHeight="1" outlineLevel="1">
      <c r="A169" s="112" t="s">
        <v>339</v>
      </c>
      <c r="B169" s="114"/>
      <c r="C169" s="114"/>
      <c r="D169" s="113">
        <v>96956749.55</v>
      </c>
      <c r="E169" s="113">
        <v>96956749.55</v>
      </c>
      <c r="F169" s="114"/>
      <c r="G169" s="114"/>
    </row>
    <row r="170" spans="1:7" ht="48" customHeight="1" outlineLevel="2">
      <c r="A170" s="115" t="s">
        <v>340</v>
      </c>
      <c r="B170" s="111"/>
      <c r="C170" s="111"/>
      <c r="D170" s="110">
        <v>96956749.55</v>
      </c>
      <c r="E170" s="110">
        <v>96956749.55</v>
      </c>
      <c r="F170" s="111"/>
      <c r="G170" s="111"/>
    </row>
    <row r="171" spans="1:7" ht="24" customHeight="1" outlineLevel="1">
      <c r="A171" s="109" t="s">
        <v>341</v>
      </c>
      <c r="B171" s="111"/>
      <c r="C171" s="111"/>
      <c r="D171" s="110">
        <v>71298734</v>
      </c>
      <c r="E171" s="110">
        <v>71298734</v>
      </c>
      <c r="F171" s="111"/>
      <c r="G171" s="111"/>
    </row>
    <row r="172" spans="1:7" ht="12" customHeight="1">
      <c r="A172" s="106" t="s">
        <v>342</v>
      </c>
      <c r="B172" s="108"/>
      <c r="C172" s="108"/>
      <c r="D172" s="302">
        <v>1876429.53</v>
      </c>
      <c r="E172" s="302">
        <v>1876429.53</v>
      </c>
      <c r="F172" s="108"/>
      <c r="G172" s="108"/>
    </row>
    <row r="173" spans="1:7" ht="24" customHeight="1" outlineLevel="1">
      <c r="A173" s="112" t="s">
        <v>343</v>
      </c>
      <c r="B173" s="114"/>
      <c r="C173" s="114"/>
      <c r="D173" s="113">
        <v>1980323.4</v>
      </c>
      <c r="E173" s="113">
        <v>1980323.4</v>
      </c>
      <c r="F173" s="114"/>
      <c r="G173" s="114"/>
    </row>
    <row r="174" spans="1:7" ht="24" customHeight="1" outlineLevel="2">
      <c r="A174" s="115" t="s">
        <v>344</v>
      </c>
      <c r="B174" s="111"/>
      <c r="C174" s="111"/>
      <c r="D174" s="110">
        <v>1980323.4</v>
      </c>
      <c r="E174" s="110">
        <v>1980323.4</v>
      </c>
      <c r="F174" s="111"/>
      <c r="G174" s="111"/>
    </row>
    <row r="175" spans="1:7" ht="36" customHeight="1" outlineLevel="1">
      <c r="A175" s="109" t="s">
        <v>389</v>
      </c>
      <c r="B175" s="111"/>
      <c r="C175" s="111"/>
      <c r="D175" s="118">
        <v>-149540.29</v>
      </c>
      <c r="E175" s="118">
        <v>-149540.29</v>
      </c>
      <c r="F175" s="111"/>
      <c r="G175" s="111"/>
    </row>
    <row r="176" spans="1:7" ht="12" customHeight="1" outlineLevel="1">
      <c r="A176" s="109" t="s">
        <v>390</v>
      </c>
      <c r="B176" s="111"/>
      <c r="C176" s="111"/>
      <c r="D176" s="110">
        <v>45646.42</v>
      </c>
      <c r="E176" s="110">
        <v>45646.42</v>
      </c>
      <c r="F176" s="111"/>
      <c r="G176" s="111"/>
    </row>
    <row r="177" spans="1:7" ht="36" customHeight="1">
      <c r="A177" s="106" t="s">
        <v>345</v>
      </c>
      <c r="B177" s="108"/>
      <c r="C177" s="108"/>
      <c r="D177" s="302">
        <v>181986767</v>
      </c>
      <c r="E177" s="302">
        <v>181986767</v>
      </c>
      <c r="F177" s="108"/>
      <c r="G177" s="108"/>
    </row>
    <row r="178" spans="1:7" ht="36" customHeight="1" outlineLevel="1">
      <c r="A178" s="112" t="s">
        <v>346</v>
      </c>
      <c r="B178" s="114"/>
      <c r="C178" s="114"/>
      <c r="D178" s="113">
        <v>181986767</v>
      </c>
      <c r="E178" s="113">
        <v>181986767</v>
      </c>
      <c r="F178" s="114"/>
      <c r="G178" s="114"/>
    </row>
    <row r="179" spans="1:7" ht="48" customHeight="1" outlineLevel="2">
      <c r="A179" s="115" t="s">
        <v>391</v>
      </c>
      <c r="B179" s="111"/>
      <c r="C179" s="111"/>
      <c r="D179" s="118">
        <v>-23615104</v>
      </c>
      <c r="E179" s="118">
        <v>-23615104</v>
      </c>
      <c r="F179" s="111"/>
      <c r="G179" s="111"/>
    </row>
    <row r="180" spans="1:7" ht="48" customHeight="1" outlineLevel="2">
      <c r="A180" s="115" t="s">
        <v>347</v>
      </c>
      <c r="B180" s="111"/>
      <c r="C180" s="111"/>
      <c r="D180" s="110">
        <v>205601871</v>
      </c>
      <c r="E180" s="110">
        <v>205601871</v>
      </c>
      <c r="F180" s="111"/>
      <c r="G180" s="111"/>
    </row>
    <row r="181" spans="1:7" ht="12" customHeight="1">
      <c r="A181" s="106" t="s">
        <v>348</v>
      </c>
      <c r="B181" s="108"/>
      <c r="C181" s="108"/>
      <c r="D181" s="302">
        <v>1538953963.01</v>
      </c>
      <c r="E181" s="302">
        <v>1538953963.01</v>
      </c>
      <c r="F181" s="108"/>
      <c r="G181" s="108"/>
    </row>
    <row r="182" spans="1:7" ht="12" customHeight="1" outlineLevel="1">
      <c r="A182" s="109" t="s">
        <v>349</v>
      </c>
      <c r="B182" s="111"/>
      <c r="C182" s="111"/>
      <c r="D182" s="110">
        <v>1510217614.44</v>
      </c>
      <c r="E182" s="110">
        <v>1510217614.44</v>
      </c>
      <c r="F182" s="111"/>
      <c r="G182" s="111"/>
    </row>
    <row r="183" spans="1:7" ht="24" customHeight="1" outlineLevel="1">
      <c r="A183" s="109" t="s">
        <v>350</v>
      </c>
      <c r="B183" s="111"/>
      <c r="C183" s="111"/>
      <c r="D183" s="110">
        <v>3393580.57</v>
      </c>
      <c r="E183" s="110">
        <v>3393580.57</v>
      </c>
      <c r="F183" s="111"/>
      <c r="G183" s="111"/>
    </row>
    <row r="184" spans="1:7" ht="24" customHeight="1" outlineLevel="1">
      <c r="A184" s="109" t="s">
        <v>351</v>
      </c>
      <c r="B184" s="111"/>
      <c r="C184" s="111"/>
      <c r="D184" s="110">
        <v>25342768</v>
      </c>
      <c r="E184" s="110">
        <v>25342768</v>
      </c>
      <c r="F184" s="111"/>
      <c r="G184" s="111"/>
    </row>
    <row r="185" spans="1:7" ht="24" customHeight="1">
      <c r="A185" s="106" t="s">
        <v>352</v>
      </c>
      <c r="B185" s="108"/>
      <c r="C185" s="108"/>
      <c r="D185" s="302">
        <v>62127357.58</v>
      </c>
      <c r="E185" s="302">
        <v>62127357.58</v>
      </c>
      <c r="F185" s="108"/>
      <c r="G185" s="108"/>
    </row>
    <row r="186" spans="1:7" ht="24" customHeight="1" outlineLevel="1">
      <c r="A186" s="109" t="s">
        <v>353</v>
      </c>
      <c r="B186" s="111"/>
      <c r="C186" s="111"/>
      <c r="D186" s="110">
        <v>62127357.58</v>
      </c>
      <c r="E186" s="110">
        <v>62127357.58</v>
      </c>
      <c r="F186" s="111"/>
      <c r="G186" s="111"/>
    </row>
    <row r="187" spans="1:7" ht="12" customHeight="1">
      <c r="A187" s="106" t="s">
        <v>354</v>
      </c>
      <c r="B187" s="108"/>
      <c r="C187" s="108"/>
      <c r="D187" s="302">
        <v>2550663605.25</v>
      </c>
      <c r="E187" s="302">
        <v>2550663605.25</v>
      </c>
      <c r="F187" s="108"/>
      <c r="G187" s="108"/>
    </row>
    <row r="188" spans="1:7" ht="12" customHeight="1" outlineLevel="1">
      <c r="A188" s="109" t="s">
        <v>355</v>
      </c>
      <c r="B188" s="111"/>
      <c r="C188" s="111"/>
      <c r="D188" s="110">
        <v>2297596277.05</v>
      </c>
      <c r="E188" s="110">
        <v>2297596277.05</v>
      </c>
      <c r="F188" s="111"/>
      <c r="G188" s="111"/>
    </row>
    <row r="189" spans="1:7" ht="36" customHeight="1" outlineLevel="1">
      <c r="A189" s="112" t="s">
        <v>356</v>
      </c>
      <c r="B189" s="114"/>
      <c r="C189" s="114"/>
      <c r="D189" s="113">
        <v>253067328.2</v>
      </c>
      <c r="E189" s="113">
        <v>253067328.2</v>
      </c>
      <c r="F189" s="114"/>
      <c r="G189" s="114"/>
    </row>
    <row r="190" spans="1:7" ht="24" customHeight="1" outlineLevel="2">
      <c r="A190" s="115" t="s">
        <v>357</v>
      </c>
      <c r="B190" s="111"/>
      <c r="C190" s="111"/>
      <c r="D190" s="110">
        <v>13274555.79</v>
      </c>
      <c r="E190" s="110">
        <v>13274555.79</v>
      </c>
      <c r="F190" s="111"/>
      <c r="G190" s="111"/>
    </row>
    <row r="191" spans="1:7" ht="24" customHeight="1" outlineLevel="2">
      <c r="A191" s="115" t="s">
        <v>358</v>
      </c>
      <c r="B191" s="111"/>
      <c r="C191" s="111"/>
      <c r="D191" s="110">
        <v>13066114.41</v>
      </c>
      <c r="E191" s="110">
        <v>13066114.41</v>
      </c>
      <c r="F191" s="111"/>
      <c r="G191" s="111"/>
    </row>
    <row r="192" spans="1:7" ht="24" customHeight="1" outlineLevel="2">
      <c r="A192" s="115" t="s">
        <v>359</v>
      </c>
      <c r="B192" s="111"/>
      <c r="C192" s="111"/>
      <c r="D192" s="110">
        <v>226726658</v>
      </c>
      <c r="E192" s="110">
        <v>226726658</v>
      </c>
      <c r="F192" s="111"/>
      <c r="G192" s="111"/>
    </row>
    <row r="193" spans="1:7" ht="24" customHeight="1">
      <c r="A193" s="121" t="s">
        <v>77</v>
      </c>
      <c r="B193" s="122">
        <v>25481536561.7</v>
      </c>
      <c r="C193" s="122">
        <v>25481536561.7</v>
      </c>
      <c r="D193" s="122">
        <v>103720198111.69</v>
      </c>
      <c r="E193" s="122">
        <v>103720198111.69</v>
      </c>
      <c r="F193" s="122">
        <v>25673144973.09</v>
      </c>
      <c r="G193" s="122">
        <v>25673144973.09</v>
      </c>
    </row>
    <row r="195" ht="12.75">
      <c r="F195" s="91">
        <f>F57</f>
        <v>94132059.76</v>
      </c>
    </row>
    <row r="198" ht="12.75">
      <c r="F198" s="91">
        <f>F193-F195</f>
        <v>25579012913.33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8"/>
  <sheetViews>
    <sheetView zoomScalePageLayoutView="0" workbookViewId="0" topLeftCell="A1">
      <selection activeCell="D29" sqref="D29"/>
    </sheetView>
  </sheetViews>
  <sheetFormatPr defaultColWidth="9.00390625" defaultRowHeight="12.75"/>
  <cols>
    <col min="6" max="6" width="9.125" style="0" hidden="1" customWidth="1"/>
    <col min="8" max="8" width="8.875" style="0" customWidth="1"/>
    <col min="9" max="9" width="0.37109375" style="0" hidden="1" customWidth="1"/>
    <col min="10" max="11" width="9.125" style="0" hidden="1" customWidth="1"/>
    <col min="12" max="12" width="9.00390625" style="0" customWidth="1"/>
    <col min="13" max="13" width="9.125" style="0" hidden="1" customWidth="1"/>
    <col min="14" max="14" width="0.2421875" style="0" hidden="1" customWidth="1"/>
    <col min="15" max="16" width="9.125" style="0" hidden="1" customWidth="1"/>
    <col min="19" max="22" width="9.125" style="0" hidden="1" customWidth="1"/>
    <col min="23" max="23" width="9.125" style="0" customWidth="1"/>
    <col min="24" max="24" width="9.125" style="0" hidden="1" customWidth="1"/>
    <col min="25" max="25" width="5.00390625" style="0" customWidth="1"/>
    <col min="26" max="27" width="9.125" style="0" hidden="1" customWidth="1"/>
  </cols>
  <sheetData>
    <row r="1" spans="1:30" ht="12.75">
      <c r="A1" s="377" t="s">
        <v>369</v>
      </c>
      <c r="B1" s="377"/>
      <c r="C1" s="377"/>
      <c r="D1" s="377"/>
      <c r="E1" s="377"/>
      <c r="F1" s="377"/>
      <c r="G1" s="378" t="s">
        <v>199</v>
      </c>
      <c r="H1" s="378"/>
      <c r="I1" s="378"/>
      <c r="J1" s="378"/>
      <c r="K1" s="378"/>
      <c r="L1" s="378"/>
      <c r="M1" s="378"/>
      <c r="N1" s="378"/>
      <c r="O1" s="378"/>
      <c r="P1" s="378"/>
      <c r="Q1" s="378" t="s">
        <v>200</v>
      </c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 t="s">
        <v>201</v>
      </c>
      <c r="AC1" s="378"/>
      <c r="AD1" s="378"/>
    </row>
    <row r="2" spans="1:30" ht="12.75">
      <c r="A2" s="377" t="s">
        <v>370</v>
      </c>
      <c r="B2" s="377"/>
      <c r="C2" s="377"/>
      <c r="D2" s="377"/>
      <c r="E2" s="377"/>
      <c r="F2" s="377"/>
      <c r="G2" s="378" t="s">
        <v>191</v>
      </c>
      <c r="H2" s="378"/>
      <c r="I2" s="378"/>
      <c r="J2" s="378"/>
      <c r="K2" s="378"/>
      <c r="L2" s="378" t="s">
        <v>192</v>
      </c>
      <c r="M2" s="378"/>
      <c r="N2" s="378"/>
      <c r="O2" s="378"/>
      <c r="P2" s="378"/>
      <c r="Q2" s="378" t="s">
        <v>191</v>
      </c>
      <c r="R2" s="378"/>
      <c r="S2" s="378"/>
      <c r="T2" s="378"/>
      <c r="U2" s="378"/>
      <c r="V2" s="378"/>
      <c r="W2" s="378" t="s">
        <v>192</v>
      </c>
      <c r="X2" s="378"/>
      <c r="Y2" s="378"/>
      <c r="Z2" s="378"/>
      <c r="AA2" s="378"/>
      <c r="AB2" s="378" t="s">
        <v>191</v>
      </c>
      <c r="AC2" s="378"/>
      <c r="AD2" s="378" t="s">
        <v>192</v>
      </c>
    </row>
    <row r="3" spans="1:30" ht="12.75">
      <c r="A3" s="377"/>
      <c r="B3" s="377"/>
      <c r="C3" s="377"/>
      <c r="D3" s="377"/>
      <c r="E3" s="377"/>
      <c r="F3" s="377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</row>
    <row r="4" spans="1:30" ht="12.75">
      <c r="A4" s="390">
        <v>2184</v>
      </c>
      <c r="B4" s="390"/>
      <c r="C4" s="390"/>
      <c r="D4" s="390"/>
      <c r="E4" s="390"/>
      <c r="F4" s="390"/>
      <c r="G4" s="391">
        <v>110193231.46</v>
      </c>
      <c r="H4" s="391"/>
      <c r="I4" s="391"/>
      <c r="J4" s="391"/>
      <c r="K4" s="391"/>
      <c r="L4" s="237"/>
      <c r="M4" s="238"/>
      <c r="N4" s="238"/>
      <c r="O4" s="238"/>
      <c r="P4" s="239"/>
      <c r="Q4" s="391">
        <v>894424.59</v>
      </c>
      <c r="R4" s="391"/>
      <c r="S4" s="391"/>
      <c r="T4" s="391"/>
      <c r="U4" s="391"/>
      <c r="V4" s="391"/>
      <c r="W4" s="391">
        <v>16955596.29</v>
      </c>
      <c r="X4" s="391"/>
      <c r="Y4" s="391"/>
      <c r="Z4" s="391"/>
      <c r="AA4" s="391"/>
      <c r="AB4" s="391">
        <v>94132059.76</v>
      </c>
      <c r="AC4" s="391"/>
      <c r="AD4" s="240"/>
    </row>
    <row r="5" spans="1:30" ht="12.75">
      <c r="A5" s="392" t="s">
        <v>650</v>
      </c>
      <c r="B5" s="392"/>
      <c r="C5" s="392"/>
      <c r="D5" s="392"/>
      <c r="E5" s="392"/>
      <c r="F5" s="392"/>
      <c r="G5" s="241"/>
      <c r="H5" s="242"/>
      <c r="I5" s="242"/>
      <c r="J5" s="242"/>
      <c r="K5" s="243"/>
      <c r="L5" s="241"/>
      <c r="M5" s="242"/>
      <c r="N5" s="242"/>
      <c r="O5" s="242"/>
      <c r="P5" s="243"/>
      <c r="Q5" s="393">
        <v>177631.86</v>
      </c>
      <c r="R5" s="393"/>
      <c r="S5" s="393"/>
      <c r="T5" s="393"/>
      <c r="U5" s="393"/>
      <c r="V5" s="393"/>
      <c r="W5" s="241"/>
      <c r="X5" s="242"/>
      <c r="Y5" s="242"/>
      <c r="Z5" s="242"/>
      <c r="AA5" s="243"/>
      <c r="AB5" s="393">
        <v>177631.86</v>
      </c>
      <c r="AC5" s="393"/>
      <c r="AD5" s="108"/>
    </row>
    <row r="6" spans="1:30" ht="12.75">
      <c r="A6" s="392" t="s">
        <v>371</v>
      </c>
      <c r="B6" s="392"/>
      <c r="C6" s="392"/>
      <c r="D6" s="392"/>
      <c r="E6" s="392"/>
      <c r="F6" s="392"/>
      <c r="G6" s="393">
        <v>2674005.29</v>
      </c>
      <c r="H6" s="393"/>
      <c r="I6" s="393"/>
      <c r="J6" s="393"/>
      <c r="K6" s="393"/>
      <c r="L6" s="241"/>
      <c r="M6" s="242"/>
      <c r="N6" s="242"/>
      <c r="O6" s="242"/>
      <c r="P6" s="243"/>
      <c r="Q6" s="241"/>
      <c r="R6" s="242"/>
      <c r="S6" s="242"/>
      <c r="T6" s="242"/>
      <c r="U6" s="242"/>
      <c r="V6" s="243"/>
      <c r="W6" s="393">
        <v>2674005.29</v>
      </c>
      <c r="X6" s="393"/>
      <c r="Y6" s="393"/>
      <c r="Z6" s="393"/>
      <c r="AA6" s="393"/>
      <c r="AB6" s="241"/>
      <c r="AC6" s="243"/>
      <c r="AD6" s="108"/>
    </row>
    <row r="7" spans="1:30" ht="12.75">
      <c r="A7" s="392" t="s">
        <v>372</v>
      </c>
      <c r="B7" s="392"/>
      <c r="C7" s="392"/>
      <c r="D7" s="392"/>
      <c r="E7" s="392"/>
      <c r="F7" s="392"/>
      <c r="G7" s="393">
        <v>11163017.17</v>
      </c>
      <c r="H7" s="393"/>
      <c r="I7" s="393"/>
      <c r="J7" s="393"/>
      <c r="K7" s="393"/>
      <c r="L7" s="241"/>
      <c r="M7" s="242"/>
      <c r="N7" s="242"/>
      <c r="O7" s="242"/>
      <c r="P7" s="243"/>
      <c r="Q7" s="393">
        <v>716792.73</v>
      </c>
      <c r="R7" s="393"/>
      <c r="S7" s="393"/>
      <c r="T7" s="393"/>
      <c r="U7" s="393"/>
      <c r="V7" s="393"/>
      <c r="W7" s="393">
        <v>10080000</v>
      </c>
      <c r="X7" s="393"/>
      <c r="Y7" s="393"/>
      <c r="Z7" s="393"/>
      <c r="AA7" s="393"/>
      <c r="AB7" s="393">
        <v>1799809.9</v>
      </c>
      <c r="AC7" s="393"/>
      <c r="AD7" s="108"/>
    </row>
    <row r="8" spans="1:30" ht="12.75">
      <c r="A8" s="392" t="s">
        <v>373</v>
      </c>
      <c r="B8" s="392"/>
      <c r="C8" s="392"/>
      <c r="D8" s="392"/>
      <c r="E8" s="392"/>
      <c r="F8" s="392"/>
      <c r="G8" s="393">
        <v>96356209</v>
      </c>
      <c r="H8" s="393"/>
      <c r="I8" s="393"/>
      <c r="J8" s="393"/>
      <c r="K8" s="393"/>
      <c r="L8" s="241"/>
      <c r="M8" s="242"/>
      <c r="N8" s="242"/>
      <c r="O8" s="242"/>
      <c r="P8" s="243"/>
      <c r="Q8" s="241"/>
      <c r="R8" s="242"/>
      <c r="S8" s="242"/>
      <c r="T8" s="242"/>
      <c r="U8" s="242"/>
      <c r="V8" s="243"/>
      <c r="W8" s="393">
        <v>4201591</v>
      </c>
      <c r="X8" s="393"/>
      <c r="Y8" s="393"/>
      <c r="Z8" s="393"/>
      <c r="AA8" s="393"/>
      <c r="AB8" s="393">
        <v>92154618</v>
      </c>
      <c r="AC8" s="393"/>
      <c r="AD8" s="108"/>
    </row>
  </sheetData>
  <sheetProtection/>
  <mergeCells count="31">
    <mergeCell ref="A1:F1"/>
    <mergeCell ref="G1:P1"/>
    <mergeCell ref="Q1:AA1"/>
    <mergeCell ref="AB1:AD1"/>
    <mergeCell ref="A2:F3"/>
    <mergeCell ref="G2:K3"/>
    <mergeCell ref="L2:P3"/>
    <mergeCell ref="Q2:V3"/>
    <mergeCell ref="W2:AA3"/>
    <mergeCell ref="AB2:AC3"/>
    <mergeCell ref="AD2:AD3"/>
    <mergeCell ref="A4:F4"/>
    <mergeCell ref="G4:K4"/>
    <mergeCell ref="Q4:V4"/>
    <mergeCell ref="W4:AA4"/>
    <mergeCell ref="AB4:AC4"/>
    <mergeCell ref="A5:F5"/>
    <mergeCell ref="Q5:V5"/>
    <mergeCell ref="AB5:AC5"/>
    <mergeCell ref="A6:F6"/>
    <mergeCell ref="G6:K6"/>
    <mergeCell ref="W6:AA6"/>
    <mergeCell ref="A7:F7"/>
    <mergeCell ref="G7:K7"/>
    <mergeCell ref="Q7:V7"/>
    <mergeCell ref="W7:AA7"/>
    <mergeCell ref="AB7:AC7"/>
    <mergeCell ref="A8:F8"/>
    <mergeCell ref="G8:K8"/>
    <mergeCell ref="W8:AA8"/>
    <mergeCell ref="AB8:AC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2:J80"/>
  <sheetViews>
    <sheetView workbookViewId="0" topLeftCell="A34">
      <selection activeCell="D53" sqref="D53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2" ht="12.75">
      <c r="D2" s="1" t="s">
        <v>0</v>
      </c>
    </row>
    <row r="3" spans="3:4" ht="12.75">
      <c r="C3" s="1" t="s">
        <v>1</v>
      </c>
      <c r="D3" s="1"/>
    </row>
    <row r="4" spans="3:5" ht="12.75">
      <c r="C4" s="1" t="s">
        <v>2</v>
      </c>
      <c r="D4" s="1"/>
      <c r="E4" s="1"/>
    </row>
    <row r="5" spans="2:6" ht="15.75">
      <c r="B5" s="2" t="s">
        <v>3</v>
      </c>
      <c r="C5" s="3"/>
      <c r="D5" s="3"/>
      <c r="E5" s="3"/>
      <c r="F5" s="3"/>
    </row>
    <row r="6" spans="2:6" ht="15.75">
      <c r="B6" s="2"/>
      <c r="C6" s="3"/>
      <c r="D6" s="3"/>
      <c r="E6" s="3"/>
      <c r="F6" s="3"/>
    </row>
    <row r="7" spans="2:6" ht="15.75">
      <c r="B7" s="364" t="s">
        <v>651</v>
      </c>
      <c r="C7" s="364"/>
      <c r="D7" s="3"/>
      <c r="E7" s="3"/>
      <c r="F7" s="3"/>
    </row>
    <row r="8" spans="2:6" ht="15.75">
      <c r="B8" s="4"/>
      <c r="C8" s="3"/>
      <c r="D8" s="3"/>
      <c r="E8" s="3"/>
      <c r="F8" s="3"/>
    </row>
    <row r="9" spans="2:6" ht="7.5" customHeight="1">
      <c r="B9" s="3"/>
      <c r="C9" s="3"/>
      <c r="D9" s="3"/>
      <c r="E9" s="3"/>
      <c r="F9" s="3"/>
    </row>
    <row r="10" spans="2:6" ht="15" customHeight="1">
      <c r="B10" s="3"/>
      <c r="C10" s="3"/>
      <c r="D10" s="3"/>
      <c r="E10" s="62" t="s">
        <v>4</v>
      </c>
      <c r="F10" s="3"/>
    </row>
    <row r="11" spans="2:6" ht="1.5" customHeight="1" hidden="1">
      <c r="B11" s="3"/>
      <c r="C11" s="3"/>
      <c r="D11" s="3"/>
      <c r="E11" s="3"/>
      <c r="F11" s="3"/>
    </row>
    <row r="12" spans="2:6" ht="15.75" thickBot="1">
      <c r="B12" s="3"/>
      <c r="C12" s="3"/>
      <c r="D12" s="3"/>
      <c r="E12" s="3"/>
      <c r="F12" s="3"/>
    </row>
    <row r="13" spans="2:6" ht="48" thickBot="1">
      <c r="B13" s="5" t="s">
        <v>5</v>
      </c>
      <c r="C13" s="6" t="s">
        <v>6</v>
      </c>
      <c r="D13" s="6" t="s">
        <v>7</v>
      </c>
      <c r="E13" s="6" t="s">
        <v>8</v>
      </c>
      <c r="F13" s="3"/>
    </row>
    <row r="14" spans="2:6" ht="16.5" thickBot="1">
      <c r="B14" s="7" t="s">
        <v>9</v>
      </c>
      <c r="C14" s="8"/>
      <c r="D14" s="8"/>
      <c r="E14" s="8"/>
      <c r="F14" s="3"/>
    </row>
    <row r="15" spans="2:6" ht="16.5" thickBot="1">
      <c r="B15" s="7" t="s">
        <v>10</v>
      </c>
      <c r="C15" s="8">
        <v>10</v>
      </c>
      <c r="D15" s="75">
        <f>'осв 08'!F6/1000</f>
        <v>2639432.13717</v>
      </c>
      <c r="E15" s="76">
        <v>1720310</v>
      </c>
      <c r="F15" s="3"/>
    </row>
    <row r="16" spans="2:6" ht="32.25" thickBot="1">
      <c r="B16" s="7" t="s">
        <v>11</v>
      </c>
      <c r="C16" s="8">
        <v>11</v>
      </c>
      <c r="D16" s="10"/>
      <c r="E16" s="9"/>
      <c r="F16" s="3"/>
    </row>
    <row r="17" spans="2:6" ht="16.5" thickBot="1">
      <c r="B17" s="7" t="s">
        <v>12</v>
      </c>
      <c r="C17" s="8">
        <v>12</v>
      </c>
      <c r="D17" s="10"/>
      <c r="E17" s="9"/>
      <c r="F17" s="3"/>
    </row>
    <row r="18" spans="2:6" ht="48" thickBot="1">
      <c r="B18" s="7" t="s">
        <v>13</v>
      </c>
      <c r="C18" s="8">
        <v>13</v>
      </c>
      <c r="D18" s="10"/>
      <c r="E18" s="9"/>
      <c r="F18" s="3"/>
    </row>
    <row r="19" spans="2:6" ht="32.25" thickBot="1">
      <c r="B19" s="7" t="s">
        <v>14</v>
      </c>
      <c r="C19" s="8">
        <v>14</v>
      </c>
      <c r="D19" s="10"/>
      <c r="E19" s="9"/>
      <c r="F19" s="3"/>
    </row>
    <row r="20" spans="2:6" ht="32.25" thickBot="1">
      <c r="B20" s="7" t="s">
        <v>15</v>
      </c>
      <c r="C20" s="8">
        <v>15</v>
      </c>
      <c r="D20" s="10"/>
      <c r="E20" s="9"/>
      <c r="F20" s="3"/>
    </row>
    <row r="21" spans="2:9" ht="32.25" thickBot="1">
      <c r="B21" s="7" t="s">
        <v>16</v>
      </c>
      <c r="C21" s="8">
        <v>16</v>
      </c>
      <c r="D21" s="16">
        <f>('осв 08'!F15+'осв 08'!F16+'осв 08'!F18+'осв 08'!F25-'осв 08'!G30+'осв 08'!F49+'осв 08'!F50-'осв 08'!G31+'осв 08'!F19)/1000</f>
        <v>372477.73983</v>
      </c>
      <c r="E21" s="16">
        <v>781327</v>
      </c>
      <c r="F21" s="3"/>
      <c r="G21" s="51"/>
      <c r="I21" s="51"/>
    </row>
    <row r="22" spans="2:7" ht="16.5" thickBot="1">
      <c r="B22" s="7" t="s">
        <v>17</v>
      </c>
      <c r="C22" s="8">
        <v>17</v>
      </c>
      <c r="D22" s="16">
        <f>'осв 08'!F45/1000</f>
        <v>176.93279</v>
      </c>
      <c r="E22" s="14">
        <v>46123</v>
      </c>
      <c r="F22" s="3"/>
      <c r="G22" s="51"/>
    </row>
    <row r="23" spans="2:7" ht="16.5" thickBot="1">
      <c r="B23" s="7" t="s">
        <v>18</v>
      </c>
      <c r="C23" s="8">
        <v>18</v>
      </c>
      <c r="D23" s="16">
        <f>'осв 08'!F32/1000</f>
        <v>253333.29314</v>
      </c>
      <c r="E23" s="14">
        <v>209303</v>
      </c>
      <c r="F23" s="3"/>
      <c r="G23" s="51"/>
    </row>
    <row r="24" spans="2:7" ht="16.5" thickBot="1">
      <c r="B24" s="7" t="s">
        <v>19</v>
      </c>
      <c r="C24" s="8">
        <v>19</v>
      </c>
      <c r="D24" s="10"/>
      <c r="E24" s="9"/>
      <c r="F24" s="3"/>
      <c r="G24" s="51"/>
    </row>
    <row r="25" spans="2:6" ht="32.25" thickBot="1">
      <c r="B25" s="7" t="s">
        <v>20</v>
      </c>
      <c r="C25" s="8">
        <v>100</v>
      </c>
      <c r="D25" s="72">
        <f>SUM(D15:D24)</f>
        <v>3265420.10293</v>
      </c>
      <c r="E25" s="15">
        <f>SUM(E15:E24)</f>
        <v>2757063</v>
      </c>
      <c r="F25" s="3"/>
    </row>
    <row r="26" spans="2:7" ht="32.25" thickBot="1">
      <c r="B26" s="7" t="s">
        <v>21</v>
      </c>
      <c r="C26" s="8">
        <v>101</v>
      </c>
      <c r="D26" s="10"/>
      <c r="E26" s="9"/>
      <c r="F26" s="3"/>
      <c r="G26" s="51"/>
    </row>
    <row r="27" spans="2:7" ht="16.5" thickBot="1">
      <c r="B27" s="7" t="s">
        <v>22</v>
      </c>
      <c r="C27" s="8"/>
      <c r="D27" s="10"/>
      <c r="E27" s="9"/>
      <c r="F27" s="3"/>
      <c r="G27" s="51"/>
    </row>
    <row r="28" spans="2:7" ht="32.25" thickBot="1">
      <c r="B28" s="7" t="s">
        <v>11</v>
      </c>
      <c r="C28" s="8">
        <v>110</v>
      </c>
      <c r="D28" s="10"/>
      <c r="E28" s="9"/>
      <c r="F28" s="3"/>
      <c r="G28" s="51"/>
    </row>
    <row r="29" spans="2:7" ht="16.5" thickBot="1">
      <c r="B29" s="7" t="s">
        <v>12</v>
      </c>
      <c r="C29" s="8">
        <v>111</v>
      </c>
      <c r="D29" s="10"/>
      <c r="E29" s="9"/>
      <c r="F29" s="3"/>
      <c r="G29" s="51"/>
    </row>
    <row r="30" spans="2:7" ht="48" thickBot="1">
      <c r="B30" s="7" t="s">
        <v>13</v>
      </c>
      <c r="C30" s="8">
        <v>112</v>
      </c>
      <c r="D30" s="10"/>
      <c r="E30" s="9"/>
      <c r="F30" s="3"/>
      <c r="G30" s="51"/>
    </row>
    <row r="31" spans="2:7" ht="32.25" thickBot="1">
      <c r="B31" s="7" t="s">
        <v>14</v>
      </c>
      <c r="C31" s="8">
        <v>113</v>
      </c>
      <c r="D31" s="10"/>
      <c r="E31" s="9"/>
      <c r="F31" s="3"/>
      <c r="G31" s="51"/>
    </row>
    <row r="32" spans="2:7" ht="16.5" thickBot="1">
      <c r="B32" s="7" t="s">
        <v>23</v>
      </c>
      <c r="C32" s="8">
        <v>114</v>
      </c>
      <c r="D32" s="10"/>
      <c r="E32" s="9"/>
      <c r="F32" s="3"/>
      <c r="G32" s="244"/>
    </row>
    <row r="33" spans="2:7" ht="32.25" thickBot="1">
      <c r="B33" s="7" t="s">
        <v>24</v>
      </c>
      <c r="C33" s="8">
        <v>115</v>
      </c>
      <c r="D33" s="10"/>
      <c r="E33" s="9"/>
      <c r="F33" s="3"/>
      <c r="G33" s="51"/>
    </row>
    <row r="34" spans="2:7" ht="32.25" thickBot="1">
      <c r="B34" s="7" t="s">
        <v>25</v>
      </c>
      <c r="C34" s="8">
        <v>116</v>
      </c>
      <c r="D34" s="10"/>
      <c r="E34" s="9"/>
      <c r="F34" s="3"/>
      <c r="G34" s="51"/>
    </row>
    <row r="35" spans="2:6" ht="16.5" thickBot="1">
      <c r="B35" s="7" t="s">
        <v>26</v>
      </c>
      <c r="C35" s="8">
        <v>117</v>
      </c>
      <c r="D35" s="10"/>
      <c r="E35" s="10"/>
      <c r="F35" s="3"/>
    </row>
    <row r="36" spans="2:8" ht="16.5" thickBot="1">
      <c r="B36" s="7" t="s">
        <v>27</v>
      </c>
      <c r="C36" s="8">
        <v>118</v>
      </c>
      <c r="D36" s="74">
        <f>('осв 08'!F59+'осв 08'!F82)/1000</f>
        <v>22182926.46867</v>
      </c>
      <c r="E36" s="74">
        <v>22505247</v>
      </c>
      <c r="F36" s="3"/>
      <c r="H36" s="11"/>
    </row>
    <row r="37" spans="2:6" ht="16.5" thickBot="1">
      <c r="B37" s="7" t="s">
        <v>28</v>
      </c>
      <c r="C37" s="8">
        <v>119</v>
      </c>
      <c r="D37" s="10"/>
      <c r="E37" s="10"/>
      <c r="F37" s="3"/>
    </row>
    <row r="38" spans="2:6" ht="16.5" thickBot="1">
      <c r="B38" s="7" t="s">
        <v>29</v>
      </c>
      <c r="C38" s="8">
        <v>120</v>
      </c>
      <c r="D38" s="10"/>
      <c r="E38" s="10"/>
      <c r="F38" s="3"/>
    </row>
    <row r="39" spans="2:6" ht="16.5" thickBot="1">
      <c r="B39" s="7" t="s">
        <v>30</v>
      </c>
      <c r="C39" s="8">
        <v>121</v>
      </c>
      <c r="D39" s="16">
        <f>'осв 08'!F70/1000</f>
        <v>94546.34173</v>
      </c>
      <c r="E39" s="16">
        <v>109033</v>
      </c>
      <c r="F39" s="3"/>
    </row>
    <row r="40" spans="2:6" ht="16.5" thickBot="1">
      <c r="B40" s="7" t="s">
        <v>31</v>
      </c>
      <c r="C40" s="8">
        <v>122</v>
      </c>
      <c r="D40" s="10"/>
      <c r="E40" s="9"/>
      <c r="F40" s="3"/>
    </row>
    <row r="41" spans="2:6" ht="16.5" thickBot="1">
      <c r="B41" s="7" t="s">
        <v>32</v>
      </c>
      <c r="C41" s="8">
        <v>123</v>
      </c>
      <c r="D41" s="10">
        <f>'осв 08'!F81/1000</f>
        <v>36120</v>
      </c>
      <c r="E41" s="9"/>
      <c r="F41" s="3"/>
    </row>
    <row r="42" spans="2:8" ht="32.25" thickBot="1">
      <c r="B42" s="7" t="s">
        <v>33</v>
      </c>
      <c r="C42" s="8">
        <v>200</v>
      </c>
      <c r="D42" s="52">
        <f>SUM(D28:D41)</f>
        <v>22313592.810399998</v>
      </c>
      <c r="E42" s="15">
        <f>SUM(E33:E41)</f>
        <v>22614280</v>
      </c>
      <c r="F42" s="3"/>
      <c r="G42" s="13"/>
      <c r="H42" s="11"/>
    </row>
    <row r="43" spans="2:7" ht="32.25" thickBot="1">
      <c r="B43" s="7" t="s">
        <v>34</v>
      </c>
      <c r="C43" s="8"/>
      <c r="D43" s="52">
        <f>D25+D42</f>
        <v>25579012.913329996</v>
      </c>
      <c r="E43" s="15">
        <f>E25+E42</f>
        <v>25371343</v>
      </c>
      <c r="F43" s="3"/>
      <c r="G43" s="11"/>
    </row>
    <row r="44" spans="2:6" ht="48" thickBot="1">
      <c r="B44" s="7" t="s">
        <v>35</v>
      </c>
      <c r="C44" s="8" t="s">
        <v>6</v>
      </c>
      <c r="D44" s="10" t="s">
        <v>7</v>
      </c>
      <c r="E44" s="9" t="s">
        <v>8</v>
      </c>
      <c r="F44" s="3"/>
    </row>
    <row r="45" spans="2:6" ht="16.5" thickBot="1">
      <c r="B45" s="7" t="s">
        <v>36</v>
      </c>
      <c r="C45" s="8"/>
      <c r="D45" s="10"/>
      <c r="E45" s="9"/>
      <c r="F45" s="3"/>
    </row>
    <row r="46" spans="2:6" ht="16.5" thickBot="1">
      <c r="B46" s="7" t="s">
        <v>37</v>
      </c>
      <c r="C46" s="8">
        <v>210</v>
      </c>
      <c r="D46" s="10"/>
      <c r="E46" s="9"/>
      <c r="F46" s="3"/>
    </row>
    <row r="47" spans="2:6" ht="16.5" thickBot="1">
      <c r="B47" s="7" t="s">
        <v>12</v>
      </c>
      <c r="C47" s="8">
        <v>211</v>
      </c>
      <c r="D47" s="10"/>
      <c r="E47" s="9"/>
      <c r="F47" s="3"/>
    </row>
    <row r="48" spans="2:7" ht="32.25" thickBot="1">
      <c r="B48" s="7" t="s">
        <v>38</v>
      </c>
      <c r="C48" s="8">
        <v>212</v>
      </c>
      <c r="D48" s="10">
        <f>('осв 08'!G88+'осв 08'!G111-1799809.9-177631.86)/1000</f>
        <v>212745.59767</v>
      </c>
      <c r="E48" s="9">
        <v>1063514</v>
      </c>
      <c r="F48" s="3"/>
      <c r="G48" s="11"/>
    </row>
    <row r="49" spans="2:10" ht="32.25" thickBot="1">
      <c r="B49" s="7" t="s">
        <v>39</v>
      </c>
      <c r="C49" s="8">
        <v>213</v>
      </c>
      <c r="D49" s="10">
        <f>('осв 08'!G104+'осв 08'!G112+'осв 08'!G123+'осв 08'!G85)/1000</f>
        <v>1342166.05672</v>
      </c>
      <c r="E49" s="9">
        <v>2878485</v>
      </c>
      <c r="F49" s="3"/>
      <c r="J49" s="11"/>
    </row>
    <row r="50" spans="2:6" ht="16.5" thickBot="1">
      <c r="B50" s="7" t="s">
        <v>40</v>
      </c>
      <c r="C50" s="8">
        <v>214</v>
      </c>
      <c r="D50" s="10">
        <f>('осв 08'!G120-1574000)/1000</f>
        <v>123047.914</v>
      </c>
      <c r="E50" s="9">
        <v>111410</v>
      </c>
      <c r="F50" s="3"/>
    </row>
    <row r="51" spans="2:8" ht="32.25" thickBot="1">
      <c r="B51" s="7" t="s">
        <v>41</v>
      </c>
      <c r="C51" s="8">
        <v>215</v>
      </c>
      <c r="D51" s="10"/>
      <c r="E51" s="10"/>
      <c r="F51" s="3"/>
      <c r="H51" s="11"/>
    </row>
    <row r="52" spans="2:6" ht="16.5" thickBot="1">
      <c r="B52" s="7" t="s">
        <v>42</v>
      </c>
      <c r="C52" s="8">
        <v>216</v>
      </c>
      <c r="D52" s="10">
        <f>'осв 08'!G109/1000</f>
        <v>58985.37117</v>
      </c>
      <c r="E52" s="9">
        <v>38815</v>
      </c>
      <c r="F52" s="3"/>
    </row>
    <row r="53" spans="2:8" ht="16.5" thickBot="1">
      <c r="B53" s="7" t="s">
        <v>43</v>
      </c>
      <c r="C53" s="8">
        <v>217</v>
      </c>
      <c r="D53" s="10">
        <f>('осв 08'!G91+'осв 08'!G100+1574000)/1000</f>
        <v>117745.94701999999</v>
      </c>
      <c r="E53" s="12">
        <v>28412</v>
      </c>
      <c r="F53" s="3"/>
      <c r="H53" s="51"/>
    </row>
    <row r="54" spans="2:6" ht="32.25" thickBot="1">
      <c r="B54" s="7" t="s">
        <v>44</v>
      </c>
      <c r="C54" s="8">
        <v>300</v>
      </c>
      <c r="D54" s="72">
        <f>SUM(D48:D53)</f>
        <v>1854690.8865800002</v>
      </c>
      <c r="E54" s="15">
        <f>SUM(E48:E53)</f>
        <v>4120636</v>
      </c>
      <c r="F54" s="3"/>
    </row>
    <row r="55" spans="2:6" ht="32.25" thickBot="1">
      <c r="B55" s="7" t="s">
        <v>45</v>
      </c>
      <c r="C55" s="8">
        <v>301</v>
      </c>
      <c r="D55" s="10"/>
      <c r="E55" s="9"/>
      <c r="F55" s="3"/>
    </row>
    <row r="56" spans="2:6" ht="16.5" thickBot="1">
      <c r="B56" s="7" t="s">
        <v>46</v>
      </c>
      <c r="C56" s="8"/>
      <c r="D56" s="10"/>
      <c r="E56" s="9"/>
      <c r="F56" s="3"/>
    </row>
    <row r="57" spans="2:6" ht="16.5" thickBot="1">
      <c r="B57" s="7" t="s">
        <v>37</v>
      </c>
      <c r="C57" s="8">
        <v>310</v>
      </c>
      <c r="D57" s="10"/>
      <c r="E57" s="9"/>
      <c r="F57" s="3"/>
    </row>
    <row r="58" spans="2:6" ht="16.5" thickBot="1">
      <c r="B58" s="7" t="s">
        <v>12</v>
      </c>
      <c r="C58" s="8">
        <v>311</v>
      </c>
      <c r="D58" s="100"/>
      <c r="E58" s="9"/>
      <c r="F58" s="3"/>
    </row>
    <row r="59" spans="2:6" ht="32.25" thickBot="1">
      <c r="B59" s="7" t="s">
        <v>47</v>
      </c>
      <c r="C59" s="99">
        <v>312</v>
      </c>
      <c r="D59" s="102">
        <f>('осв 08'!G128-92154618)/1000</f>
        <v>4514414.51375</v>
      </c>
      <c r="E59" s="102">
        <v>2166323</v>
      </c>
      <c r="F59" s="3"/>
    </row>
    <row r="60" spans="2:6" ht="32.25" thickBot="1">
      <c r="B60" s="7" t="s">
        <v>48</v>
      </c>
      <c r="C60" s="8">
        <v>313</v>
      </c>
      <c r="D60" s="16"/>
      <c r="E60" s="9"/>
      <c r="F60" s="3"/>
    </row>
    <row r="61" spans="2:6" ht="16.5" thickBot="1">
      <c r="B61" s="7" t="s">
        <v>49</v>
      </c>
      <c r="C61" s="8">
        <v>314</v>
      </c>
      <c r="D61" s="16">
        <f>'осв 08'!G135/1000</f>
        <v>58898.033</v>
      </c>
      <c r="E61" s="14">
        <v>57306</v>
      </c>
      <c r="F61" s="3"/>
    </row>
    <row r="62" spans="2:6" ht="16.5" thickBot="1">
      <c r="B62" s="7" t="s">
        <v>50</v>
      </c>
      <c r="C62" s="8">
        <v>315</v>
      </c>
      <c r="D62" s="16">
        <f>'осв 08'!G137/1000</f>
        <v>2842317.696</v>
      </c>
      <c r="E62" s="16">
        <v>2865933</v>
      </c>
      <c r="F62" s="55"/>
    </row>
    <row r="63" spans="2:6" ht="16.5" thickBot="1">
      <c r="B63" s="7" t="s">
        <v>51</v>
      </c>
      <c r="C63" s="8">
        <v>316</v>
      </c>
      <c r="D63" s="16">
        <f>'осв 08'!G131/1000</f>
        <v>1674594.52929</v>
      </c>
      <c r="E63" s="14">
        <v>1708160</v>
      </c>
      <c r="F63" s="3"/>
    </row>
    <row r="64" spans="2:6" ht="32.25" thickBot="1">
      <c r="B64" s="7" t="s">
        <v>52</v>
      </c>
      <c r="C64" s="8">
        <v>400</v>
      </c>
      <c r="D64" s="15">
        <f>SUM(D57:D63)</f>
        <v>9090224.77204</v>
      </c>
      <c r="E64" s="15">
        <f>SUM(E57:E63)</f>
        <v>6797722</v>
      </c>
      <c r="F64" s="3"/>
    </row>
    <row r="65" spans="2:6" ht="16.5" thickBot="1">
      <c r="B65" s="7" t="s">
        <v>53</v>
      </c>
      <c r="C65" s="8"/>
      <c r="D65" s="73"/>
      <c r="E65" s="14"/>
      <c r="F65" s="3"/>
    </row>
    <row r="66" spans="2:7" ht="16.5" thickBot="1">
      <c r="B66" s="7" t="s">
        <v>54</v>
      </c>
      <c r="C66" s="8">
        <v>410</v>
      </c>
      <c r="D66" s="16">
        <f>('осв 08'!G138+'осв 08'!G143)/1000</f>
        <v>1712761.7765</v>
      </c>
      <c r="E66" s="16">
        <v>1712762</v>
      </c>
      <c r="F66" s="3"/>
      <c r="G66" s="11">
        <f>D66-E66</f>
        <v>-0.22350000008009374</v>
      </c>
    </row>
    <row r="67" spans="2:6" ht="16.5" thickBot="1">
      <c r="B67" s="7" t="s">
        <v>55</v>
      </c>
      <c r="C67" s="8">
        <v>411</v>
      </c>
      <c r="D67" s="73"/>
      <c r="E67" s="14"/>
      <c r="F67" s="3"/>
    </row>
    <row r="68" spans="2:6" ht="32.25" thickBot="1">
      <c r="B68" s="7" t="s">
        <v>56</v>
      </c>
      <c r="C68" s="8">
        <v>412</v>
      </c>
      <c r="D68" s="16">
        <f>'осв 08'!G142/1000</f>
        <v>-38923.5764</v>
      </c>
      <c r="E68" s="14">
        <v>-38924</v>
      </c>
      <c r="F68" s="3"/>
    </row>
    <row r="69" spans="2:6" ht="16.5" thickBot="1">
      <c r="B69" s="7" t="s">
        <v>57</v>
      </c>
      <c r="C69" s="8">
        <v>413</v>
      </c>
      <c r="D69" s="16">
        <f>'осв 08'!G146/1000</f>
        <v>7409450.8231999995</v>
      </c>
      <c r="E69" s="16">
        <v>7754455</v>
      </c>
      <c r="F69" s="55"/>
    </row>
    <row r="70" spans="2:8" ht="32.25" thickBot="1">
      <c r="B70" s="7" t="s">
        <v>58</v>
      </c>
      <c r="C70" s="8">
        <v>414</v>
      </c>
      <c r="D70" s="16">
        <f>'осв 08'!G147/1000</f>
        <v>5550808.2314100005</v>
      </c>
      <c r="E70" s="14">
        <v>5024692</v>
      </c>
      <c r="F70" s="13"/>
      <c r="H70" s="11"/>
    </row>
    <row r="71" spans="2:6" ht="48" thickBot="1">
      <c r="B71" s="7" t="s">
        <v>59</v>
      </c>
      <c r="C71" s="8">
        <v>420</v>
      </c>
      <c r="D71" s="73"/>
      <c r="E71" s="9"/>
      <c r="F71" s="3"/>
    </row>
    <row r="72" spans="2:6" ht="16.5" thickBot="1">
      <c r="B72" s="7" t="s">
        <v>60</v>
      </c>
      <c r="C72" s="8">
        <v>421</v>
      </c>
      <c r="D72" s="77"/>
      <c r="E72" s="10"/>
      <c r="F72" s="3"/>
    </row>
    <row r="73" spans="2:6" ht="16.5" thickBot="1">
      <c r="B73" s="7" t="s">
        <v>61</v>
      </c>
      <c r="C73" s="8">
        <v>500</v>
      </c>
      <c r="D73" s="15">
        <f>SUM(D66:D72)</f>
        <v>14634097.25471</v>
      </c>
      <c r="E73" s="15">
        <f>SUM(E66:E72)</f>
        <v>14452985</v>
      </c>
      <c r="F73" s="3"/>
    </row>
    <row r="74" spans="2:8" ht="32.25" thickBot="1">
      <c r="B74" s="7" t="s">
        <v>62</v>
      </c>
      <c r="C74" s="8"/>
      <c r="D74" s="15">
        <f>D54+D64+D73</f>
        <v>25579012.91333</v>
      </c>
      <c r="E74" s="15">
        <f>E54+E64+E73</f>
        <v>25371343</v>
      </c>
      <c r="F74" s="3"/>
      <c r="H74" s="11"/>
    </row>
    <row r="75" spans="2:6" ht="15">
      <c r="B75" s="3"/>
      <c r="C75" s="3"/>
      <c r="D75" s="13"/>
      <c r="E75" s="3"/>
      <c r="F75" s="3"/>
    </row>
    <row r="76" spans="2:6" ht="15">
      <c r="B76" s="3"/>
      <c r="C76" s="3"/>
      <c r="D76" s="13"/>
      <c r="E76" s="13"/>
      <c r="F76" s="3"/>
    </row>
    <row r="77" spans="2:6" ht="15">
      <c r="B77" s="3"/>
      <c r="C77" s="3"/>
      <c r="D77" s="13"/>
      <c r="E77" s="3"/>
      <c r="F77" s="3"/>
    </row>
    <row r="78" spans="2:6" ht="15">
      <c r="B78" s="3" t="s">
        <v>63</v>
      </c>
      <c r="C78" s="3"/>
      <c r="D78" s="13"/>
      <c r="E78" s="3"/>
      <c r="F78" s="3"/>
    </row>
    <row r="79" spans="2:6" ht="15">
      <c r="B79" s="3"/>
      <c r="C79" s="3"/>
      <c r="D79" s="13"/>
      <c r="E79" s="3"/>
      <c r="F79" s="3"/>
    </row>
    <row r="80" spans="2:6" ht="15">
      <c r="B80" s="3" t="s">
        <v>64</v>
      </c>
      <c r="C80" s="3"/>
      <c r="D80" s="3"/>
      <c r="E80" s="3"/>
      <c r="F80" s="3"/>
    </row>
  </sheetData>
  <sheetProtection/>
  <mergeCells count="1">
    <mergeCell ref="B7:C7"/>
  </mergeCells>
  <printOptions/>
  <pageMargins left="0.75" right="0.75" top="1" bottom="0.42" header="0.5" footer="0.5"/>
  <pageSetup horizontalDpi="600" verticalDpi="600" orientation="portrait" paperSize="9" scale="8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1:E37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">
      <c r="B1" s="3"/>
      <c r="C1" s="104"/>
      <c r="D1" s="104" t="s">
        <v>169</v>
      </c>
      <c r="E1" s="92"/>
    </row>
    <row r="2" spans="2:5" ht="15">
      <c r="B2" s="3"/>
      <c r="C2" s="104" t="s">
        <v>1</v>
      </c>
      <c r="D2" s="104"/>
      <c r="E2" s="92"/>
    </row>
    <row r="3" spans="2:5" ht="15">
      <c r="B3" s="3"/>
      <c r="C3" s="104" t="s">
        <v>2</v>
      </c>
      <c r="D3" s="104"/>
      <c r="E3" s="92"/>
    </row>
    <row r="4" spans="2:5" ht="15">
      <c r="B4" s="3"/>
      <c r="C4" s="3"/>
      <c r="D4" s="3"/>
      <c r="E4" s="3"/>
    </row>
    <row r="5" spans="2:5" ht="15.75">
      <c r="B5" s="2" t="s">
        <v>170</v>
      </c>
      <c r="C5" s="3"/>
      <c r="D5" s="3"/>
      <c r="E5" s="3"/>
    </row>
    <row r="6" spans="2:5" ht="15.75">
      <c r="B6" s="2"/>
      <c r="C6" s="3"/>
      <c r="D6" s="3"/>
      <c r="E6" s="3"/>
    </row>
    <row r="7" spans="2:5" ht="15.75">
      <c r="B7" s="4" t="s">
        <v>657</v>
      </c>
      <c r="C7" s="3"/>
      <c r="D7" s="3"/>
      <c r="E7" s="3"/>
    </row>
    <row r="8" spans="2:5" ht="15">
      <c r="B8" s="3"/>
      <c r="C8" s="3"/>
      <c r="D8" s="3"/>
      <c r="E8" s="3"/>
    </row>
    <row r="9" spans="2:5" ht="12.75" customHeight="1">
      <c r="B9" s="3"/>
      <c r="C9" s="3"/>
      <c r="D9" s="3"/>
      <c r="E9" s="62" t="s">
        <v>4</v>
      </c>
    </row>
    <row r="10" spans="2:5" ht="3" customHeight="1" hidden="1">
      <c r="B10" s="3"/>
      <c r="C10" s="3"/>
      <c r="D10" s="3"/>
      <c r="E10" s="3"/>
    </row>
    <row r="11" spans="2:5" ht="15.75" thickBot="1">
      <c r="B11" s="3"/>
      <c r="C11" s="3"/>
      <c r="D11" s="3"/>
      <c r="E11" s="3"/>
    </row>
    <row r="12" spans="2:5" ht="63.75" customHeight="1" thickBot="1">
      <c r="B12" s="5" t="s">
        <v>112</v>
      </c>
      <c r="C12" s="6" t="s">
        <v>6</v>
      </c>
      <c r="D12" s="6" t="s">
        <v>113</v>
      </c>
      <c r="E12" s="6" t="s">
        <v>171</v>
      </c>
    </row>
    <row r="13" spans="2:5" ht="16.5" thickBot="1">
      <c r="B13" s="7" t="s">
        <v>172</v>
      </c>
      <c r="C13" s="8">
        <v>10</v>
      </c>
      <c r="D13" s="93">
        <f>'расчет прибыли 08'!Y4/1000</f>
        <v>5703020.80197</v>
      </c>
      <c r="E13" s="93">
        <f>4564943.532+33564.24</f>
        <v>4598507.772</v>
      </c>
    </row>
    <row r="14" spans="2:5" ht="34.5" customHeight="1" thickBot="1">
      <c r="B14" s="7" t="s">
        <v>173</v>
      </c>
      <c r="C14" s="8">
        <v>11</v>
      </c>
      <c r="D14" s="101">
        <f>'расчет прибыли 08'!Y5/1000</f>
        <v>4152240.271839999</v>
      </c>
      <c r="E14" s="94">
        <v>2780765.598</v>
      </c>
    </row>
    <row r="15" spans="2:5" ht="30.75" customHeight="1" thickBot="1">
      <c r="B15" s="7" t="s">
        <v>174</v>
      </c>
      <c r="C15" s="8">
        <v>12</v>
      </c>
      <c r="D15" s="72">
        <f>D13-D14</f>
        <v>1550780.5301300013</v>
      </c>
      <c r="E15" s="72">
        <f>E13-E14</f>
        <v>1817742.1739999996</v>
      </c>
    </row>
    <row r="16" spans="2:5" ht="24.75" customHeight="1" thickBot="1">
      <c r="B16" s="7" t="s">
        <v>175</v>
      </c>
      <c r="C16" s="8">
        <v>13</v>
      </c>
      <c r="D16" s="10">
        <f>'расчет прибыли 08'!Y11/1000</f>
        <v>59359.2126</v>
      </c>
      <c r="E16" s="10">
        <v>37481.14</v>
      </c>
    </row>
    <row r="17" spans="2:5" ht="21" customHeight="1" thickBot="1">
      <c r="B17" s="7" t="s">
        <v>176</v>
      </c>
      <c r="C17" s="8">
        <v>14</v>
      </c>
      <c r="D17" s="10">
        <f>('расчет прибыли 08'!Y9+'расчет прибыли 08'!Y10)/1000</f>
        <v>622455.6388799999</v>
      </c>
      <c r="E17" s="10">
        <v>303288.247</v>
      </c>
    </row>
    <row r="18" spans="2:5" ht="16.5" thickBot="1">
      <c r="B18" s="7" t="s">
        <v>177</v>
      </c>
      <c r="C18" s="8">
        <v>15</v>
      </c>
      <c r="D18" s="10"/>
      <c r="E18" s="10"/>
    </row>
    <row r="19" spans="2:5" ht="16.5" thickBot="1">
      <c r="B19" s="7" t="s">
        <v>178</v>
      </c>
      <c r="C19" s="8">
        <v>16</v>
      </c>
      <c r="D19" s="10">
        <f>('расчет прибыли 08'!Y30-'расчет прибыли 08'!Y29-'расчет прибыли 08'!Y21-'расчет прибыли 08'!Y37)/1000</f>
        <v>82073.19501000002</v>
      </c>
      <c r="E19" s="10">
        <v>45206</v>
      </c>
    </row>
    <row r="20" spans="2:5" ht="35.25" customHeight="1" thickBot="1">
      <c r="B20" s="7" t="s">
        <v>179</v>
      </c>
      <c r="C20" s="8">
        <v>20</v>
      </c>
      <c r="D20" s="10">
        <f>D15-D16-D17+D19-D18</f>
        <v>951038.8736600014</v>
      </c>
      <c r="E20" s="10">
        <f>E15-E16-E17+E19-E18</f>
        <v>1522178.7869999998</v>
      </c>
    </row>
    <row r="21" spans="2:5" ht="24" customHeight="1" thickBot="1">
      <c r="B21" s="7" t="s">
        <v>180</v>
      </c>
      <c r="C21" s="8">
        <v>21</v>
      </c>
      <c r="D21" s="10">
        <f>('расчет прибыли 08'!Y21+'расчет прибыли 08'!Y29)/1000</f>
        <v>8735.654920000003</v>
      </c>
      <c r="E21" s="10">
        <v>2380.76</v>
      </c>
    </row>
    <row r="22" spans="2:5" ht="29.25" customHeight="1" thickBot="1">
      <c r="B22" s="7" t="s">
        <v>181</v>
      </c>
      <c r="C22" s="8">
        <v>22</v>
      </c>
      <c r="D22" s="10">
        <f>('расчет прибыли 08'!Y12+'расчет прибыли 08'!Y42)/1000</f>
        <v>168255.48355</v>
      </c>
      <c r="E22" s="10">
        <v>141386.572</v>
      </c>
    </row>
    <row r="23" spans="2:5" ht="62.25" customHeight="1" thickBot="1">
      <c r="B23" s="7" t="s">
        <v>182</v>
      </c>
      <c r="C23" s="8">
        <v>23</v>
      </c>
      <c r="D23" s="10"/>
      <c r="E23" s="10"/>
    </row>
    <row r="24" spans="2:5" ht="20.25" customHeight="1" thickBot="1">
      <c r="B24" s="7" t="s">
        <v>183</v>
      </c>
      <c r="C24" s="8">
        <v>24</v>
      </c>
      <c r="D24" s="10"/>
      <c r="E24" s="10"/>
    </row>
    <row r="25" spans="2:5" ht="17.25" customHeight="1" thickBot="1">
      <c r="B25" s="7" t="s">
        <v>184</v>
      </c>
      <c r="C25" s="8">
        <v>25</v>
      </c>
      <c r="D25" s="10"/>
      <c r="E25" s="10"/>
    </row>
    <row r="26" spans="2:5" ht="36" customHeight="1" thickBot="1">
      <c r="B26" s="7" t="s">
        <v>185</v>
      </c>
      <c r="C26" s="8">
        <v>100</v>
      </c>
      <c r="D26" s="72">
        <f>D20+D21-D22-D25</f>
        <v>791519.0450300014</v>
      </c>
      <c r="E26" s="72">
        <f>E20+E21-E22-E25</f>
        <v>1383172.9749999999</v>
      </c>
    </row>
    <row r="27" spans="2:5" ht="23.25" customHeight="1" thickBot="1">
      <c r="B27" s="7" t="s">
        <v>186</v>
      </c>
      <c r="C27" s="5">
        <v>101</v>
      </c>
      <c r="D27" s="95">
        <f>('расчет прибыли 08'!Y41+'расчет прибыли 08'!Y43)/1000</f>
        <v>181986.767</v>
      </c>
      <c r="E27" s="95">
        <v>243103.246</v>
      </c>
    </row>
    <row r="28" spans="2:5" ht="54.75" customHeight="1" thickBot="1">
      <c r="B28" s="7" t="s">
        <v>187</v>
      </c>
      <c r="C28" s="8">
        <v>200</v>
      </c>
      <c r="D28" s="10">
        <f>D26-D27</f>
        <v>609532.2780300014</v>
      </c>
      <c r="E28" s="10">
        <f>E26-E27</f>
        <v>1140069.7289999998</v>
      </c>
    </row>
    <row r="29" spans="2:5" ht="48.75" customHeight="1" thickBot="1">
      <c r="B29" s="7" t="s">
        <v>188</v>
      </c>
      <c r="C29" s="8">
        <v>201</v>
      </c>
      <c r="D29" s="10"/>
      <c r="E29" s="10"/>
    </row>
    <row r="30" spans="2:5" ht="33.75" customHeight="1" thickBot="1">
      <c r="B30" s="7" t="s">
        <v>189</v>
      </c>
      <c r="C30" s="8">
        <v>300</v>
      </c>
      <c r="D30" s="72">
        <f>D28+D29</f>
        <v>609532.2780300014</v>
      </c>
      <c r="E30" s="72">
        <f>E28+E29</f>
        <v>1140069.7289999998</v>
      </c>
    </row>
    <row r="31" spans="2:5" ht="16.5" thickBot="1">
      <c r="B31" s="7" t="s">
        <v>193</v>
      </c>
      <c r="C31" s="8"/>
      <c r="D31" s="10"/>
      <c r="E31" s="10"/>
    </row>
    <row r="32" spans="2:5" ht="16.5" thickBot="1">
      <c r="B32" s="7" t="s">
        <v>194</v>
      </c>
      <c r="C32" s="8"/>
      <c r="D32" s="10"/>
      <c r="E32" s="10"/>
    </row>
    <row r="33" spans="2:5" ht="15">
      <c r="B33" s="96"/>
      <c r="C33" s="3"/>
      <c r="D33" s="3"/>
      <c r="E33" s="97"/>
    </row>
    <row r="34" spans="2:5" ht="15">
      <c r="B34" s="98" t="s">
        <v>63</v>
      </c>
      <c r="C34" s="3"/>
      <c r="D34" s="3"/>
      <c r="E34" s="97"/>
    </row>
    <row r="35" spans="2:5" ht="15">
      <c r="B35" s="96"/>
      <c r="C35" s="3"/>
      <c r="D35" s="3"/>
      <c r="E35" s="97"/>
    </row>
    <row r="36" spans="2:5" ht="15">
      <c r="B36" s="98" t="s">
        <v>64</v>
      </c>
      <c r="C36" s="3"/>
      <c r="D36" s="3"/>
      <c r="E36" s="97"/>
    </row>
    <row r="37" ht="18">
      <c r="B37" s="8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7:M63"/>
  <sheetViews>
    <sheetView zoomScalePageLayoutView="0" workbookViewId="0" topLeftCell="A8">
      <selection activeCell="J52" sqref="J52"/>
    </sheetView>
  </sheetViews>
  <sheetFormatPr defaultColWidth="9.00390625" defaultRowHeight="12.75"/>
  <cols>
    <col min="1" max="1" width="13.625" style="0" customWidth="1"/>
    <col min="2" max="2" width="25.00390625" style="0" customWidth="1"/>
    <col min="3" max="3" width="15.125" style="0" customWidth="1"/>
    <col min="4" max="4" width="9.75390625" style="0" bestFit="1" customWidth="1"/>
    <col min="5" max="5" width="8.87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8.25390625" style="0" customWidth="1"/>
  </cols>
  <sheetData>
    <row r="1" s="17" customFormat="1" ht="12" customHeight="1"/>
    <row r="2" s="17" customFormat="1" ht="12.75" hidden="1"/>
    <row r="3" s="17" customFormat="1" ht="12.75" hidden="1"/>
    <row r="4" s="17" customFormat="1" ht="12.75" hidden="1"/>
    <row r="5" s="17" customFormat="1" ht="12.75"/>
    <row r="6" s="17" customFormat="1" ht="12.75"/>
    <row r="7" spans="1:8" s="17" customFormat="1" ht="12.75">
      <c r="A7" s="18" t="str">
        <f>+'[1]Ф1'!A1</f>
        <v>Введите название компании</v>
      </c>
      <c r="B7" s="18"/>
      <c r="C7" s="19" t="s">
        <v>65</v>
      </c>
      <c r="D7" s="19"/>
      <c r="E7" s="20"/>
      <c r="F7" s="19"/>
      <c r="G7" s="19"/>
      <c r="H7" s="19"/>
    </row>
    <row r="8" spans="1:8" s="22" customFormat="1" ht="15.75" customHeight="1">
      <c r="A8" s="21" t="s">
        <v>66</v>
      </c>
      <c r="B8" s="373" t="s">
        <v>658</v>
      </c>
      <c r="C8" s="373"/>
      <c r="D8" s="373"/>
      <c r="E8" s="373"/>
      <c r="F8" s="373"/>
      <c r="G8" s="374"/>
      <c r="H8" s="374"/>
    </row>
    <row r="9" s="17" customFormat="1" ht="13.5" thickBot="1"/>
    <row r="10" spans="1:13" s="17" customFormat="1" ht="21.75" customHeight="1" thickBot="1">
      <c r="A10" s="23" t="s">
        <v>67</v>
      </c>
      <c r="B10" s="375"/>
      <c r="C10" s="371" t="s">
        <v>68</v>
      </c>
      <c r="D10" s="371" t="s">
        <v>69</v>
      </c>
      <c r="E10" s="371" t="s">
        <v>70</v>
      </c>
      <c r="F10" s="371" t="s">
        <v>71</v>
      </c>
      <c r="G10" s="371" t="s">
        <v>72</v>
      </c>
      <c r="H10" s="371" t="s">
        <v>73</v>
      </c>
      <c r="I10" s="371" t="s">
        <v>74</v>
      </c>
      <c r="J10" s="371" t="s">
        <v>58</v>
      </c>
      <c r="K10" s="371" t="s">
        <v>75</v>
      </c>
      <c r="L10" s="371" t="s">
        <v>76</v>
      </c>
      <c r="M10" s="372" t="s">
        <v>77</v>
      </c>
    </row>
    <row r="11" spans="1:13" s="17" customFormat="1" ht="63.75" customHeight="1" thickBot="1">
      <c r="A11" s="23"/>
      <c r="B11" s="375"/>
      <c r="C11" s="376"/>
      <c r="D11" s="376"/>
      <c r="E11" s="371"/>
      <c r="F11" s="376"/>
      <c r="G11" s="371"/>
      <c r="H11" s="371"/>
      <c r="I11" s="371"/>
      <c r="J11" s="376"/>
      <c r="K11" s="371"/>
      <c r="L11" s="371"/>
      <c r="M11" s="372"/>
    </row>
    <row r="12" spans="1:13" s="17" customFormat="1" ht="13.5" thickBot="1">
      <c r="A12" s="24"/>
      <c r="B12" s="25"/>
      <c r="C12" s="26" t="s">
        <v>78</v>
      </c>
      <c r="D12" s="26" t="s">
        <v>78</v>
      </c>
      <c r="E12" s="26" t="s">
        <v>78</v>
      </c>
      <c r="F12" s="26" t="s">
        <v>78</v>
      </c>
      <c r="G12" s="26" t="s">
        <v>78</v>
      </c>
      <c r="H12" s="26" t="s">
        <v>78</v>
      </c>
      <c r="I12" s="26" t="s">
        <v>78</v>
      </c>
      <c r="J12" s="26" t="s">
        <v>78</v>
      </c>
      <c r="K12" s="26" t="s">
        <v>78</v>
      </c>
      <c r="L12" s="26" t="s">
        <v>78</v>
      </c>
      <c r="M12" s="26" t="s">
        <v>78</v>
      </c>
    </row>
    <row r="13" spans="1:13" s="17" customFormat="1" ht="24.75" customHeight="1" thickBot="1">
      <c r="A13" s="27"/>
      <c r="B13" s="28" t="s">
        <v>190</v>
      </c>
      <c r="C13" s="56">
        <v>1712762</v>
      </c>
      <c r="D13" s="56">
        <v>-38924</v>
      </c>
      <c r="E13" s="56"/>
      <c r="F13" s="56">
        <v>8443674</v>
      </c>
      <c r="G13" s="56"/>
      <c r="H13" s="56"/>
      <c r="I13" s="56"/>
      <c r="J13" s="56">
        <v>3428770</v>
      </c>
      <c r="K13" s="57">
        <f>SUM(C13:J13)</f>
        <v>13546282</v>
      </c>
      <c r="L13" s="56"/>
      <c r="M13" s="57">
        <f aca="true" t="shared" si="0" ref="M13:M34">+K13+L13</f>
        <v>13546282</v>
      </c>
    </row>
    <row r="14" spans="1:13" s="17" customFormat="1" ht="39.75" customHeight="1" thickBot="1">
      <c r="A14" s="27" t="s">
        <v>79</v>
      </c>
      <c r="B14" s="29" t="s">
        <v>80</v>
      </c>
      <c r="C14" s="58"/>
      <c r="D14" s="58"/>
      <c r="E14" s="58"/>
      <c r="F14" s="58"/>
      <c r="G14" s="58"/>
      <c r="H14" s="58"/>
      <c r="I14" s="58"/>
      <c r="J14" s="58"/>
      <c r="K14" s="59">
        <f aca="true" t="shared" si="1" ref="K14:K34">+SUM(C14:J14)</f>
        <v>0</v>
      </c>
      <c r="L14" s="58"/>
      <c r="M14" s="59">
        <f t="shared" si="0"/>
        <v>0</v>
      </c>
    </row>
    <row r="15" spans="1:13" s="17" customFormat="1" ht="34.5" customHeight="1" thickBot="1">
      <c r="A15" s="27" t="s">
        <v>79</v>
      </c>
      <c r="B15" s="29" t="s">
        <v>81</v>
      </c>
      <c r="C15" s="58"/>
      <c r="D15" s="58"/>
      <c r="E15" s="58"/>
      <c r="F15" s="58"/>
      <c r="G15" s="58"/>
      <c r="H15" s="58"/>
      <c r="I15" s="58"/>
      <c r="J15" s="58"/>
      <c r="K15" s="59">
        <f t="shared" si="1"/>
        <v>0</v>
      </c>
      <c r="L15" s="58"/>
      <c r="M15" s="59">
        <f t="shared" si="0"/>
        <v>0</v>
      </c>
    </row>
    <row r="16" spans="1:13" s="17" customFormat="1" ht="51.75" customHeight="1" thickBot="1">
      <c r="A16" s="27" t="s">
        <v>79</v>
      </c>
      <c r="B16" s="29" t="s">
        <v>82</v>
      </c>
      <c r="C16" s="58"/>
      <c r="D16" s="58"/>
      <c r="E16" s="58"/>
      <c r="F16" s="58"/>
      <c r="G16" s="58"/>
      <c r="H16" s="58"/>
      <c r="I16" s="58"/>
      <c r="J16" s="58"/>
      <c r="K16" s="59">
        <f t="shared" si="1"/>
        <v>0</v>
      </c>
      <c r="L16" s="58"/>
      <c r="M16" s="59">
        <f t="shared" si="0"/>
        <v>0</v>
      </c>
    </row>
    <row r="17" spans="1:13" s="17" customFormat="1" ht="29.25" customHeight="1" thickBot="1">
      <c r="A17" s="27" t="s">
        <v>83</v>
      </c>
      <c r="B17" s="29" t="s">
        <v>84</v>
      </c>
      <c r="C17" s="58"/>
      <c r="D17" s="58"/>
      <c r="E17" s="58"/>
      <c r="F17" s="58"/>
      <c r="G17" s="58"/>
      <c r="H17" s="58"/>
      <c r="I17" s="58"/>
      <c r="J17" s="58"/>
      <c r="K17" s="59">
        <f>+SUM(C17:J17)</f>
        <v>0</v>
      </c>
      <c r="L17" s="58"/>
      <c r="M17" s="59">
        <f t="shared" si="0"/>
        <v>0</v>
      </c>
    </row>
    <row r="18" spans="1:13" s="17" customFormat="1" ht="29.25" customHeight="1" thickBot="1">
      <c r="A18" s="27" t="s">
        <v>79</v>
      </c>
      <c r="B18" s="29" t="s">
        <v>85</v>
      </c>
      <c r="C18" s="58"/>
      <c r="D18" s="58"/>
      <c r="E18" s="58"/>
      <c r="F18" s="58"/>
      <c r="G18" s="58"/>
      <c r="H18" s="58"/>
      <c r="I18" s="58"/>
      <c r="J18" s="58"/>
      <c r="K18" s="59">
        <f t="shared" si="1"/>
        <v>0</v>
      </c>
      <c r="L18" s="58"/>
      <c r="M18" s="59">
        <f t="shared" si="0"/>
        <v>0</v>
      </c>
    </row>
    <row r="19" spans="1:13" s="17" customFormat="1" ht="40.5" customHeight="1" thickBot="1">
      <c r="A19" s="27" t="s">
        <v>79</v>
      </c>
      <c r="B19" s="28" t="s">
        <v>86</v>
      </c>
      <c r="C19" s="59">
        <f aca="true" t="shared" si="2" ref="C19:J19">+SUM(C14:C18)</f>
        <v>0</v>
      </c>
      <c r="D19" s="59">
        <f t="shared" si="2"/>
        <v>0</v>
      </c>
      <c r="E19" s="59">
        <f t="shared" si="2"/>
        <v>0</v>
      </c>
      <c r="F19" s="59"/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1"/>
        <v>0</v>
      </c>
      <c r="L19" s="59">
        <f>+SUM(L14:L18)</f>
        <v>0</v>
      </c>
      <c r="M19" s="59">
        <f t="shared" si="0"/>
        <v>0</v>
      </c>
    </row>
    <row r="20" spans="1:13" s="17" customFormat="1" ht="27.75" customHeight="1" thickBot="1">
      <c r="A20" s="27"/>
      <c r="B20" s="29" t="s">
        <v>87</v>
      </c>
      <c r="C20" s="58"/>
      <c r="D20" s="58"/>
      <c r="E20" s="58"/>
      <c r="F20" s="58"/>
      <c r="G20" s="58"/>
      <c r="H20" s="58"/>
      <c r="I20" s="58"/>
      <c r="J20" s="58"/>
      <c r="K20" s="59">
        <f t="shared" si="1"/>
        <v>0</v>
      </c>
      <c r="L20" s="58"/>
      <c r="M20" s="59">
        <f t="shared" si="0"/>
        <v>0</v>
      </c>
    </row>
    <row r="21" spans="1:13" s="17" customFormat="1" ht="46.5" customHeight="1" thickBot="1">
      <c r="A21" s="27" t="s">
        <v>88</v>
      </c>
      <c r="B21" s="29" t="s">
        <v>89</v>
      </c>
      <c r="C21" s="58"/>
      <c r="D21" s="58"/>
      <c r="E21" s="58"/>
      <c r="F21" s="58"/>
      <c r="G21" s="58"/>
      <c r="H21" s="58"/>
      <c r="I21" s="58"/>
      <c r="J21" s="58"/>
      <c r="K21" s="59">
        <f t="shared" si="1"/>
        <v>0</v>
      </c>
      <c r="L21" s="58"/>
      <c r="M21" s="59">
        <f t="shared" si="0"/>
        <v>0</v>
      </c>
    </row>
    <row r="22" spans="1:13" s="17" customFormat="1" ht="70.5" customHeight="1" thickBot="1">
      <c r="A22" s="27" t="s">
        <v>90</v>
      </c>
      <c r="B22" s="29" t="s">
        <v>91</v>
      </c>
      <c r="C22" s="58"/>
      <c r="D22" s="58"/>
      <c r="E22" s="58"/>
      <c r="F22" s="58"/>
      <c r="G22" s="58"/>
      <c r="H22" s="58"/>
      <c r="I22" s="58"/>
      <c r="J22" s="58"/>
      <c r="K22" s="59">
        <f t="shared" si="1"/>
        <v>0</v>
      </c>
      <c r="L22" s="58"/>
      <c r="M22" s="59">
        <f t="shared" si="0"/>
        <v>0</v>
      </c>
    </row>
    <row r="23" spans="1:13" s="17" customFormat="1" ht="37.5" customHeight="1" thickBot="1">
      <c r="A23" s="27"/>
      <c r="B23" s="29" t="s">
        <v>92</v>
      </c>
      <c r="C23" s="58"/>
      <c r="D23" s="58"/>
      <c r="E23" s="58"/>
      <c r="F23" s="58">
        <v>-689218.527</v>
      </c>
      <c r="G23" s="58"/>
      <c r="H23" s="58"/>
      <c r="I23" s="58"/>
      <c r="J23" s="58">
        <v>689218.527</v>
      </c>
      <c r="K23" s="59">
        <f t="shared" si="1"/>
        <v>0</v>
      </c>
      <c r="L23" s="58"/>
      <c r="M23" s="59">
        <f t="shared" si="0"/>
        <v>0</v>
      </c>
    </row>
    <row r="24" spans="1:13" s="17" customFormat="1" ht="16.5" customHeight="1" thickBot="1">
      <c r="A24" s="27"/>
      <c r="B24" s="29" t="s">
        <v>93</v>
      </c>
      <c r="C24" s="58"/>
      <c r="D24" s="58"/>
      <c r="E24" s="58"/>
      <c r="F24" s="58"/>
      <c r="G24" s="58"/>
      <c r="H24" s="58"/>
      <c r="I24" s="58"/>
      <c r="J24" s="58"/>
      <c r="K24" s="59">
        <f t="shared" si="1"/>
        <v>0</v>
      </c>
      <c r="L24" s="58"/>
      <c r="M24" s="59">
        <f t="shared" si="0"/>
        <v>0</v>
      </c>
    </row>
    <row r="25" spans="1:13" s="17" customFormat="1" ht="26.25" customHeight="1" thickBot="1">
      <c r="A25" s="27" t="s">
        <v>94</v>
      </c>
      <c r="B25" s="30" t="s">
        <v>95</v>
      </c>
      <c r="C25" s="58"/>
      <c r="D25" s="58"/>
      <c r="E25" s="58"/>
      <c r="F25" s="58"/>
      <c r="G25" s="58"/>
      <c r="H25" s="58"/>
      <c r="I25" s="58"/>
      <c r="J25" s="60">
        <v>1156627.527</v>
      </c>
      <c r="K25" s="59">
        <f t="shared" si="1"/>
        <v>1156627.527</v>
      </c>
      <c r="L25" s="58"/>
      <c r="M25" s="59">
        <f t="shared" si="0"/>
        <v>1156627.527</v>
      </c>
    </row>
    <row r="26" spans="1:13" s="17" customFormat="1" ht="23.25" thickBot="1">
      <c r="A26" s="27" t="s">
        <v>96</v>
      </c>
      <c r="B26" s="28" t="s">
        <v>97</v>
      </c>
      <c r="C26" s="58">
        <f aca="true" t="shared" si="3" ref="C26:I26">+SUM(C19:C25)</f>
        <v>0</v>
      </c>
      <c r="D26" s="58">
        <f t="shared" si="3"/>
        <v>0</v>
      </c>
      <c r="E26" s="58">
        <f t="shared" si="3"/>
        <v>0</v>
      </c>
      <c r="F26" s="58">
        <f>+SUM(F19:F25)</f>
        <v>-689218.527</v>
      </c>
      <c r="G26" s="58">
        <f t="shared" si="3"/>
        <v>0</v>
      </c>
      <c r="H26" s="58">
        <f t="shared" si="3"/>
        <v>0</v>
      </c>
      <c r="I26" s="58">
        <f t="shared" si="3"/>
        <v>0</v>
      </c>
      <c r="J26" s="60">
        <f>+SUM(J19:J25)</f>
        <v>1845846.054</v>
      </c>
      <c r="K26" s="59">
        <f>+SUM(C26:J26)</f>
        <v>1156627.527</v>
      </c>
      <c r="L26" s="58">
        <f>+SUM(L19:L25)</f>
        <v>0</v>
      </c>
      <c r="M26" s="59">
        <f>+K26+L26</f>
        <v>1156627.527</v>
      </c>
    </row>
    <row r="27" spans="1:13" s="17" customFormat="1" ht="25.5" customHeight="1" thickBot="1">
      <c r="A27" s="27" t="s">
        <v>98</v>
      </c>
      <c r="B27" s="29" t="s">
        <v>99</v>
      </c>
      <c r="C27" s="58"/>
      <c r="D27" s="58"/>
      <c r="E27" s="58"/>
      <c r="F27" s="58"/>
      <c r="G27" s="58"/>
      <c r="H27" s="58"/>
      <c r="I27" s="58"/>
      <c r="J27" s="58"/>
      <c r="K27" s="59">
        <f t="shared" si="1"/>
        <v>0</v>
      </c>
      <c r="L27" s="58"/>
      <c r="M27" s="59">
        <f t="shared" si="0"/>
        <v>0</v>
      </c>
    </row>
    <row r="28" spans="1:13" s="17" customFormat="1" ht="25.5" customHeight="1" thickBot="1">
      <c r="A28" s="27"/>
      <c r="B28" s="29" t="s">
        <v>100</v>
      </c>
      <c r="C28" s="58"/>
      <c r="D28" s="58"/>
      <c r="E28" s="58"/>
      <c r="F28" s="58"/>
      <c r="G28" s="58"/>
      <c r="H28" s="58"/>
      <c r="I28" s="58"/>
      <c r="J28" s="58"/>
      <c r="K28" s="59">
        <f t="shared" si="1"/>
        <v>0</v>
      </c>
      <c r="L28" s="58"/>
      <c r="M28" s="59">
        <f t="shared" si="0"/>
        <v>0</v>
      </c>
    </row>
    <row r="29" spans="1:13" s="17" customFormat="1" ht="27" customHeight="1" thickBot="1">
      <c r="A29" s="27" t="s">
        <v>98</v>
      </c>
      <c r="B29" s="29" t="s">
        <v>101</v>
      </c>
      <c r="C29" s="58"/>
      <c r="D29" s="58"/>
      <c r="E29" s="58"/>
      <c r="F29" s="58"/>
      <c r="G29" s="58"/>
      <c r="H29" s="58"/>
      <c r="I29" s="58"/>
      <c r="J29" s="58"/>
      <c r="K29" s="59">
        <f t="shared" si="1"/>
        <v>0</v>
      </c>
      <c r="L29" s="58"/>
      <c r="M29" s="59">
        <f t="shared" si="0"/>
        <v>0</v>
      </c>
    </row>
    <row r="30" spans="1:13" s="17" customFormat="1" ht="23.25" customHeight="1" thickBot="1">
      <c r="A30" s="27" t="s">
        <v>98</v>
      </c>
      <c r="B30" s="29" t="s">
        <v>102</v>
      </c>
      <c r="C30" s="58"/>
      <c r="D30" s="58"/>
      <c r="E30" s="58"/>
      <c r="F30" s="58"/>
      <c r="G30" s="58"/>
      <c r="H30" s="58"/>
      <c r="I30" s="58"/>
      <c r="J30" s="58"/>
      <c r="K30" s="59">
        <f t="shared" si="1"/>
        <v>0</v>
      </c>
      <c r="L30" s="58"/>
      <c r="M30" s="59">
        <f t="shared" si="0"/>
        <v>0</v>
      </c>
    </row>
    <row r="31" spans="1:13" s="17" customFormat="1" ht="27.75" customHeight="1" thickBot="1">
      <c r="A31" s="27" t="s">
        <v>98</v>
      </c>
      <c r="B31" s="29" t="s">
        <v>103</v>
      </c>
      <c r="C31" s="58"/>
      <c r="D31" s="58"/>
      <c r="E31" s="58"/>
      <c r="F31" s="58"/>
      <c r="G31" s="58"/>
      <c r="H31" s="58"/>
      <c r="I31" s="58"/>
      <c r="J31" s="58"/>
      <c r="K31" s="59">
        <f t="shared" si="1"/>
        <v>0</v>
      </c>
      <c r="L31" s="58"/>
      <c r="M31" s="59">
        <f t="shared" si="0"/>
        <v>0</v>
      </c>
    </row>
    <row r="32" spans="1:13" s="17" customFormat="1" ht="25.5" customHeight="1" thickBot="1">
      <c r="A32" s="27"/>
      <c r="B32" s="29" t="s">
        <v>104</v>
      </c>
      <c r="C32" s="58"/>
      <c r="D32" s="58"/>
      <c r="E32" s="58"/>
      <c r="F32" s="58"/>
      <c r="G32" s="58"/>
      <c r="H32" s="58"/>
      <c r="I32" s="58"/>
      <c r="J32" s="58"/>
      <c r="K32" s="59">
        <f t="shared" si="1"/>
        <v>0</v>
      </c>
      <c r="L32" s="58"/>
      <c r="M32" s="59">
        <f t="shared" si="0"/>
        <v>0</v>
      </c>
    </row>
    <row r="33" spans="1:13" s="17" customFormat="1" ht="35.25" customHeight="1" thickBot="1">
      <c r="A33" s="27" t="s">
        <v>98</v>
      </c>
      <c r="B33" s="29" t="s">
        <v>105</v>
      </c>
      <c r="C33" s="58"/>
      <c r="D33" s="58"/>
      <c r="E33" s="58"/>
      <c r="F33" s="58"/>
      <c r="G33" s="58"/>
      <c r="H33" s="58"/>
      <c r="I33" s="58"/>
      <c r="J33" s="58"/>
      <c r="K33" s="59">
        <f t="shared" si="1"/>
        <v>0</v>
      </c>
      <c r="L33" s="58"/>
      <c r="M33" s="59">
        <f t="shared" si="0"/>
        <v>0</v>
      </c>
    </row>
    <row r="34" spans="1:13" s="17" customFormat="1" ht="27" customHeight="1" thickBot="1">
      <c r="A34" s="27" t="s">
        <v>98</v>
      </c>
      <c r="B34" s="29" t="s">
        <v>106</v>
      </c>
      <c r="C34" s="58"/>
      <c r="D34" s="58"/>
      <c r="E34" s="58"/>
      <c r="F34" s="58"/>
      <c r="G34" s="58"/>
      <c r="H34" s="58"/>
      <c r="I34" s="58"/>
      <c r="J34" s="58">
        <v>-249924.527</v>
      </c>
      <c r="K34" s="59">
        <f t="shared" si="1"/>
        <v>-249924.527</v>
      </c>
      <c r="L34" s="58"/>
      <c r="M34" s="59">
        <f t="shared" si="0"/>
        <v>-249924.527</v>
      </c>
    </row>
    <row r="35" spans="1:13" s="17" customFormat="1" ht="26.25" customHeight="1" thickBot="1">
      <c r="A35" s="31"/>
      <c r="B35" s="32" t="s">
        <v>381</v>
      </c>
      <c r="C35" s="56">
        <f aca="true" t="shared" si="4" ref="C35:J35">+C13+C26+SUM(C27:C34)</f>
        <v>1712762</v>
      </c>
      <c r="D35" s="56">
        <f t="shared" si="4"/>
        <v>-38924</v>
      </c>
      <c r="E35" s="56">
        <f t="shared" si="4"/>
        <v>0</v>
      </c>
      <c r="F35" s="56">
        <f t="shared" si="4"/>
        <v>7754455.473</v>
      </c>
      <c r="G35" s="56">
        <f t="shared" si="4"/>
        <v>0</v>
      </c>
      <c r="H35" s="56">
        <f t="shared" si="4"/>
        <v>0</v>
      </c>
      <c r="I35" s="56">
        <f t="shared" si="4"/>
        <v>0</v>
      </c>
      <c r="J35" s="56">
        <f t="shared" si="4"/>
        <v>5024691.527</v>
      </c>
      <c r="K35" s="57">
        <f>+SUM(C35:J35)</f>
        <v>14452985</v>
      </c>
      <c r="L35" s="56">
        <f>+L13+L26+SUM(L27:L34)</f>
        <v>0</v>
      </c>
      <c r="M35" s="57">
        <f>+K35+L35</f>
        <v>14452985</v>
      </c>
    </row>
    <row r="36" spans="1:13" s="33" customFormat="1" ht="32.25" customHeight="1" thickBot="1">
      <c r="A36" s="31"/>
      <c r="B36" s="32" t="s">
        <v>382</v>
      </c>
      <c r="C36" s="56">
        <f>C35</f>
        <v>1712762</v>
      </c>
      <c r="D36" s="56">
        <f aca="true" t="shared" si="5" ref="D36:L36">D35</f>
        <v>-38924</v>
      </c>
      <c r="E36" s="56">
        <f t="shared" si="5"/>
        <v>0</v>
      </c>
      <c r="F36" s="56">
        <f>F35</f>
        <v>7754455.473</v>
      </c>
      <c r="G36" s="56">
        <f t="shared" si="5"/>
        <v>0</v>
      </c>
      <c r="H36" s="56">
        <f t="shared" si="5"/>
        <v>0</v>
      </c>
      <c r="I36" s="56">
        <f t="shared" si="5"/>
        <v>0</v>
      </c>
      <c r="J36" s="56">
        <v>5024691.277</v>
      </c>
      <c r="K36" s="57">
        <f>+SUM(C36:J36)</f>
        <v>14452984.75</v>
      </c>
      <c r="L36" s="56">
        <f t="shared" si="5"/>
        <v>0</v>
      </c>
      <c r="M36" s="57">
        <f>+K36+L36</f>
        <v>14452984.75</v>
      </c>
    </row>
    <row r="37" spans="1:13" s="17" customFormat="1" ht="39.75" customHeight="1" thickBot="1">
      <c r="A37" s="27" t="s">
        <v>79</v>
      </c>
      <c r="B37" s="29" t="s">
        <v>80</v>
      </c>
      <c r="C37" s="58"/>
      <c r="D37" s="58"/>
      <c r="E37" s="58"/>
      <c r="F37" s="58"/>
      <c r="G37" s="58"/>
      <c r="H37" s="58"/>
      <c r="I37" s="58"/>
      <c r="J37" s="58"/>
      <c r="K37" s="59">
        <f aca="true" t="shared" si="6" ref="K37:K57">+SUM(C37:J37)</f>
        <v>0</v>
      </c>
      <c r="L37" s="58"/>
      <c r="M37" s="59">
        <f>+K37+L37</f>
        <v>0</v>
      </c>
    </row>
    <row r="38" spans="1:13" s="17" customFormat="1" ht="34.5" customHeight="1" thickBot="1">
      <c r="A38" s="27" t="s">
        <v>79</v>
      </c>
      <c r="B38" s="29" t="s">
        <v>81</v>
      </c>
      <c r="C38" s="58"/>
      <c r="D38" s="58"/>
      <c r="E38" s="58"/>
      <c r="F38" s="58"/>
      <c r="G38" s="58"/>
      <c r="H38" s="58"/>
      <c r="I38" s="58"/>
      <c r="J38" s="58"/>
      <c r="K38" s="59">
        <f t="shared" si="6"/>
        <v>0</v>
      </c>
      <c r="L38" s="58"/>
      <c r="M38" s="59">
        <f aca="true" t="shared" si="7" ref="M38:M57">+K38+L38</f>
        <v>0</v>
      </c>
    </row>
    <row r="39" spans="1:13" s="17" customFormat="1" ht="51.75" customHeight="1" thickBot="1">
      <c r="A39" s="27" t="s">
        <v>79</v>
      </c>
      <c r="B39" s="29" t="s">
        <v>82</v>
      </c>
      <c r="C39" s="58"/>
      <c r="D39" s="58"/>
      <c r="E39" s="58"/>
      <c r="F39" s="58"/>
      <c r="G39" s="58"/>
      <c r="H39" s="58"/>
      <c r="I39" s="58"/>
      <c r="J39" s="58"/>
      <c r="K39" s="59">
        <f t="shared" si="6"/>
        <v>0</v>
      </c>
      <c r="L39" s="58"/>
      <c r="M39" s="59">
        <f t="shared" si="7"/>
        <v>0</v>
      </c>
    </row>
    <row r="40" spans="1:13" s="17" customFormat="1" ht="29.25" customHeight="1" thickBot="1">
      <c r="A40" s="27" t="s">
        <v>83</v>
      </c>
      <c r="B40" s="29" t="s">
        <v>84</v>
      </c>
      <c r="C40" s="58"/>
      <c r="D40" s="58"/>
      <c r="E40" s="58"/>
      <c r="F40" s="58"/>
      <c r="G40" s="58"/>
      <c r="H40" s="58"/>
      <c r="I40" s="58"/>
      <c r="J40" s="58"/>
      <c r="K40" s="59">
        <f t="shared" si="6"/>
        <v>0</v>
      </c>
      <c r="L40" s="58"/>
      <c r="M40" s="59">
        <f t="shared" si="7"/>
        <v>0</v>
      </c>
    </row>
    <row r="41" spans="1:13" s="17" customFormat="1" ht="29.25" customHeight="1" thickBot="1">
      <c r="A41" s="27" t="s">
        <v>79</v>
      </c>
      <c r="B41" s="29" t="s">
        <v>85</v>
      </c>
      <c r="C41" s="58"/>
      <c r="D41" s="58"/>
      <c r="E41" s="58"/>
      <c r="F41" s="58"/>
      <c r="G41" s="58"/>
      <c r="H41" s="58"/>
      <c r="I41" s="58"/>
      <c r="J41" s="58"/>
      <c r="K41" s="59">
        <f t="shared" si="6"/>
        <v>0</v>
      </c>
      <c r="L41" s="58"/>
      <c r="M41" s="59">
        <f t="shared" si="7"/>
        <v>0</v>
      </c>
    </row>
    <row r="42" spans="1:13" s="17" customFormat="1" ht="40.5" customHeight="1" thickBot="1">
      <c r="A42" s="27" t="s">
        <v>79</v>
      </c>
      <c r="B42" s="28" t="s">
        <v>86</v>
      </c>
      <c r="C42" s="59">
        <f aca="true" t="shared" si="8" ref="C42:J42">+SUM(C37:C41)</f>
        <v>0</v>
      </c>
      <c r="D42" s="59">
        <f t="shared" si="8"/>
        <v>0</v>
      </c>
      <c r="E42" s="59">
        <f t="shared" si="8"/>
        <v>0</v>
      </c>
      <c r="F42" s="59">
        <f>+SUM(F37:F41)</f>
        <v>0</v>
      </c>
      <c r="G42" s="59">
        <f t="shared" si="8"/>
        <v>0</v>
      </c>
      <c r="H42" s="59">
        <f t="shared" si="8"/>
        <v>0</v>
      </c>
      <c r="I42" s="59">
        <f t="shared" si="8"/>
        <v>0</v>
      </c>
      <c r="J42" s="59">
        <f t="shared" si="8"/>
        <v>0</v>
      </c>
      <c r="K42" s="59">
        <f t="shared" si="6"/>
        <v>0</v>
      </c>
      <c r="L42" s="59">
        <f>+SUM(L37:L41)</f>
        <v>0</v>
      </c>
      <c r="M42" s="59">
        <f t="shared" si="7"/>
        <v>0</v>
      </c>
    </row>
    <row r="43" spans="1:13" s="17" customFormat="1" ht="27.75" customHeight="1" thickBot="1">
      <c r="A43" s="27"/>
      <c r="B43" s="29" t="s">
        <v>87</v>
      </c>
      <c r="C43" s="58"/>
      <c r="D43" s="58"/>
      <c r="E43" s="58"/>
      <c r="F43" s="58"/>
      <c r="G43" s="58"/>
      <c r="H43" s="58"/>
      <c r="I43" s="58"/>
      <c r="J43" s="58"/>
      <c r="K43" s="59">
        <f t="shared" si="6"/>
        <v>0</v>
      </c>
      <c r="L43" s="58"/>
      <c r="M43" s="59">
        <f t="shared" si="7"/>
        <v>0</v>
      </c>
    </row>
    <row r="44" spans="1:13" s="17" customFormat="1" ht="56.25" customHeight="1" thickBot="1">
      <c r="A44" s="27" t="s">
        <v>88</v>
      </c>
      <c r="B44" s="29" t="s">
        <v>89</v>
      </c>
      <c r="C44" s="58"/>
      <c r="D44" s="58"/>
      <c r="E44" s="58"/>
      <c r="F44" s="58"/>
      <c r="G44" s="58"/>
      <c r="H44" s="58"/>
      <c r="I44" s="58"/>
      <c r="J44" s="58"/>
      <c r="K44" s="59">
        <f t="shared" si="6"/>
        <v>0</v>
      </c>
      <c r="L44" s="58"/>
      <c r="M44" s="59">
        <f t="shared" si="7"/>
        <v>0</v>
      </c>
    </row>
    <row r="45" spans="1:13" s="17" customFormat="1" ht="70.5" customHeight="1" thickBot="1">
      <c r="A45" s="27" t="s">
        <v>90</v>
      </c>
      <c r="B45" s="29" t="s">
        <v>91</v>
      </c>
      <c r="C45" s="58"/>
      <c r="D45" s="58"/>
      <c r="E45" s="58"/>
      <c r="F45" s="58"/>
      <c r="G45" s="58"/>
      <c r="H45" s="58"/>
      <c r="I45" s="58"/>
      <c r="J45" s="58"/>
      <c r="K45" s="59">
        <f t="shared" si="6"/>
        <v>0</v>
      </c>
      <c r="L45" s="58"/>
      <c r="M45" s="59">
        <f t="shared" si="7"/>
        <v>0</v>
      </c>
    </row>
    <row r="46" spans="1:13" s="17" customFormat="1" ht="37.5" customHeight="1" thickBot="1">
      <c r="A46" s="34"/>
      <c r="B46" s="29" t="s">
        <v>92</v>
      </c>
      <c r="C46" s="58"/>
      <c r="D46" s="58"/>
      <c r="E46" s="58"/>
      <c r="F46" s="58">
        <v>-345004.676</v>
      </c>
      <c r="G46" s="58"/>
      <c r="H46" s="58"/>
      <c r="I46" s="58"/>
      <c r="J46" s="58">
        <v>345004.676</v>
      </c>
      <c r="K46" s="59"/>
      <c r="L46" s="58"/>
      <c r="M46" s="59"/>
    </row>
    <row r="47" spans="1:13" s="17" customFormat="1" ht="15" thickBot="1">
      <c r="A47" s="34"/>
      <c r="B47" s="29" t="s">
        <v>93</v>
      </c>
      <c r="C47" s="58"/>
      <c r="D47" s="58"/>
      <c r="E47" s="58"/>
      <c r="F47" s="58"/>
      <c r="G47" s="58"/>
      <c r="H47" s="58"/>
      <c r="I47" s="58"/>
      <c r="J47" s="58"/>
      <c r="K47" s="59">
        <f t="shared" si="6"/>
        <v>0</v>
      </c>
      <c r="L47" s="58"/>
      <c r="M47" s="59">
        <f t="shared" si="7"/>
        <v>0</v>
      </c>
    </row>
    <row r="48" spans="1:13" s="17" customFormat="1" ht="26.25" customHeight="1" thickBot="1">
      <c r="A48" s="27" t="s">
        <v>94</v>
      </c>
      <c r="B48" s="30" t="s">
        <v>95</v>
      </c>
      <c r="C48" s="58"/>
      <c r="D48" s="58"/>
      <c r="E48" s="58"/>
      <c r="F48" s="58"/>
      <c r="G48" s="58"/>
      <c r="H48" s="58"/>
      <c r="I48" s="58"/>
      <c r="J48" s="60">
        <f>609532.278</f>
        <v>609532.278</v>
      </c>
      <c r="K48" s="59">
        <f t="shared" si="6"/>
        <v>609532.278</v>
      </c>
      <c r="L48" s="58"/>
      <c r="M48" s="59">
        <f t="shared" si="7"/>
        <v>609532.278</v>
      </c>
    </row>
    <row r="49" spans="1:13" s="17" customFormat="1" ht="23.25" thickBot="1">
      <c r="A49" s="27" t="s">
        <v>96</v>
      </c>
      <c r="B49" s="28" t="s">
        <v>97</v>
      </c>
      <c r="C49" s="58">
        <f aca="true" t="shared" si="9" ref="C49:I49">+SUM(C42:C48)</f>
        <v>0</v>
      </c>
      <c r="D49" s="58">
        <f t="shared" si="9"/>
        <v>0</v>
      </c>
      <c r="E49" s="58">
        <f t="shared" si="9"/>
        <v>0</v>
      </c>
      <c r="F49" s="58">
        <f>+SUM(F42:F48)</f>
        <v>-345004.676</v>
      </c>
      <c r="G49" s="58">
        <f t="shared" si="9"/>
        <v>0</v>
      </c>
      <c r="H49" s="58">
        <f t="shared" si="9"/>
        <v>0</v>
      </c>
      <c r="I49" s="58">
        <f t="shared" si="9"/>
        <v>0</v>
      </c>
      <c r="J49" s="60">
        <f>+SUM(J42:J48)</f>
        <v>954536.954</v>
      </c>
      <c r="K49" s="59">
        <f>+SUM(C49:J49)</f>
        <v>609532.278</v>
      </c>
      <c r="L49" s="58">
        <f>+SUM(L42:L48)</f>
        <v>0</v>
      </c>
      <c r="M49" s="59">
        <f>+K49+L49</f>
        <v>609532.278</v>
      </c>
    </row>
    <row r="50" spans="1:13" s="17" customFormat="1" ht="25.5" customHeight="1" thickBot="1">
      <c r="A50" s="27" t="s">
        <v>98</v>
      </c>
      <c r="B50" s="29" t="s">
        <v>99</v>
      </c>
      <c r="C50" s="58"/>
      <c r="D50" s="58"/>
      <c r="E50" s="58"/>
      <c r="F50" s="58"/>
      <c r="G50" s="58"/>
      <c r="H50" s="58"/>
      <c r="I50" s="58"/>
      <c r="J50" s="58"/>
      <c r="K50" s="59">
        <f t="shared" si="6"/>
        <v>0</v>
      </c>
      <c r="L50" s="58"/>
      <c r="M50" s="59">
        <f t="shared" si="7"/>
        <v>0</v>
      </c>
    </row>
    <row r="51" spans="1:13" s="17" customFormat="1" ht="25.5" customHeight="1" thickBot="1">
      <c r="A51" s="27"/>
      <c r="B51" s="29" t="s">
        <v>100</v>
      </c>
      <c r="C51" s="58"/>
      <c r="D51" s="58"/>
      <c r="E51" s="58"/>
      <c r="F51" s="58"/>
      <c r="G51" s="58"/>
      <c r="H51" s="58"/>
      <c r="I51" s="58"/>
      <c r="J51" s="58"/>
      <c r="K51" s="59">
        <f t="shared" si="6"/>
        <v>0</v>
      </c>
      <c r="L51" s="58"/>
      <c r="M51" s="59">
        <f t="shared" si="7"/>
        <v>0</v>
      </c>
    </row>
    <row r="52" spans="1:13" s="17" customFormat="1" ht="27" customHeight="1" thickBot="1">
      <c r="A52" s="27" t="s">
        <v>98</v>
      </c>
      <c r="B52" s="29" t="s">
        <v>101</v>
      </c>
      <c r="C52" s="58"/>
      <c r="D52" s="58"/>
      <c r="E52" s="58"/>
      <c r="F52" s="58"/>
      <c r="G52" s="58"/>
      <c r="H52" s="58"/>
      <c r="I52" s="58"/>
      <c r="J52" s="58"/>
      <c r="K52" s="59">
        <f t="shared" si="6"/>
        <v>0</v>
      </c>
      <c r="L52" s="58"/>
      <c r="M52" s="59">
        <f t="shared" si="7"/>
        <v>0</v>
      </c>
    </row>
    <row r="53" spans="1:13" s="17" customFormat="1" ht="23.25" customHeight="1" thickBot="1">
      <c r="A53" s="27" t="s">
        <v>98</v>
      </c>
      <c r="B53" s="29" t="s">
        <v>102</v>
      </c>
      <c r="C53" s="58"/>
      <c r="D53" s="58"/>
      <c r="E53" s="58"/>
      <c r="F53" s="58"/>
      <c r="G53" s="58"/>
      <c r="H53" s="58"/>
      <c r="I53" s="58"/>
      <c r="J53" s="58"/>
      <c r="K53" s="59">
        <f t="shared" si="6"/>
        <v>0</v>
      </c>
      <c r="L53" s="58"/>
      <c r="M53" s="59">
        <f t="shared" si="7"/>
        <v>0</v>
      </c>
    </row>
    <row r="54" spans="1:13" s="17" customFormat="1" ht="27.75" customHeight="1" thickBot="1">
      <c r="A54" s="27" t="s">
        <v>98</v>
      </c>
      <c r="B54" s="29" t="s">
        <v>103</v>
      </c>
      <c r="C54" s="58"/>
      <c r="D54" s="58"/>
      <c r="E54" s="58"/>
      <c r="F54" s="58"/>
      <c r="G54" s="58"/>
      <c r="H54" s="58"/>
      <c r="I54" s="58"/>
      <c r="J54" s="58"/>
      <c r="K54" s="59">
        <f t="shared" si="6"/>
        <v>0</v>
      </c>
      <c r="L54" s="58"/>
      <c r="M54" s="59">
        <f t="shared" si="7"/>
        <v>0</v>
      </c>
    </row>
    <row r="55" spans="1:13" s="17" customFormat="1" ht="25.5" customHeight="1" thickBot="1">
      <c r="A55" s="27"/>
      <c r="B55" s="29" t="s">
        <v>104</v>
      </c>
      <c r="C55" s="58"/>
      <c r="D55" s="58"/>
      <c r="E55" s="58"/>
      <c r="F55" s="58"/>
      <c r="G55" s="58"/>
      <c r="H55" s="58"/>
      <c r="I55" s="58"/>
      <c r="J55" s="58"/>
      <c r="K55" s="59">
        <f t="shared" si="6"/>
        <v>0</v>
      </c>
      <c r="L55" s="58"/>
      <c r="M55" s="59">
        <f t="shared" si="7"/>
        <v>0</v>
      </c>
    </row>
    <row r="56" spans="1:13" s="17" customFormat="1" ht="35.25" customHeight="1" thickBot="1">
      <c r="A56" s="27" t="s">
        <v>98</v>
      </c>
      <c r="B56" s="29" t="s">
        <v>105</v>
      </c>
      <c r="C56" s="58"/>
      <c r="D56" s="58"/>
      <c r="E56" s="58"/>
      <c r="F56" s="58"/>
      <c r="G56" s="58"/>
      <c r="H56" s="58"/>
      <c r="I56" s="58"/>
      <c r="J56" s="58"/>
      <c r="K56" s="59">
        <f t="shared" si="6"/>
        <v>0</v>
      </c>
      <c r="L56" s="58"/>
      <c r="M56" s="59">
        <f t="shared" si="7"/>
        <v>0</v>
      </c>
    </row>
    <row r="57" spans="1:13" s="17" customFormat="1" ht="27" customHeight="1" thickBot="1">
      <c r="A57" s="27" t="s">
        <v>98</v>
      </c>
      <c r="B57" s="29" t="s">
        <v>106</v>
      </c>
      <c r="C57" s="58"/>
      <c r="D57" s="58"/>
      <c r="E57" s="58"/>
      <c r="F57" s="58"/>
      <c r="G57" s="58"/>
      <c r="H57" s="58"/>
      <c r="I57" s="58"/>
      <c r="J57" s="58">
        <v>-428420</v>
      </c>
      <c r="K57" s="59">
        <f t="shared" si="6"/>
        <v>-428420</v>
      </c>
      <c r="L57" s="58"/>
      <c r="M57" s="59">
        <f t="shared" si="7"/>
        <v>-428420</v>
      </c>
    </row>
    <row r="58" spans="1:13" s="17" customFormat="1" ht="20.25" customHeight="1" thickBot="1">
      <c r="A58" s="27"/>
      <c r="B58" s="35" t="s">
        <v>107</v>
      </c>
      <c r="C58" s="58">
        <f aca="true" t="shared" si="10" ref="C58:I58">+C36+C49+SUM(C50:C57)</f>
        <v>1712762</v>
      </c>
      <c r="D58" s="58">
        <f t="shared" si="10"/>
        <v>-38924</v>
      </c>
      <c r="E58" s="58">
        <f t="shared" si="10"/>
        <v>0</v>
      </c>
      <c r="F58" s="58">
        <f>+F36+F49+SUM(F50:F57)</f>
        <v>7409450.797</v>
      </c>
      <c r="G58" s="58">
        <f t="shared" si="10"/>
        <v>0</v>
      </c>
      <c r="H58" s="58">
        <f t="shared" si="10"/>
        <v>0</v>
      </c>
      <c r="I58" s="58">
        <f t="shared" si="10"/>
        <v>0</v>
      </c>
      <c r="J58" s="61">
        <f>+J36+J49+SUM(J50:J57)</f>
        <v>5550808.231</v>
      </c>
      <c r="K58" s="59">
        <f>+SUM(C58:J58)</f>
        <v>14634097.028</v>
      </c>
      <c r="L58" s="58">
        <f>+L35+L49+SUM(L50:L57)</f>
        <v>0</v>
      </c>
      <c r="M58" s="59">
        <f>+K58+L58</f>
        <v>14634097.028</v>
      </c>
    </row>
    <row r="59" spans="1:13" s="17" customFormat="1" ht="15">
      <c r="A59" s="36"/>
      <c r="B59" s="37"/>
      <c r="C59" s="38"/>
      <c r="D59" s="38"/>
      <c r="E59" s="38"/>
      <c r="F59" s="38"/>
      <c r="G59" s="38"/>
      <c r="H59" s="38"/>
      <c r="I59" s="38"/>
      <c r="J59" s="39"/>
      <c r="K59" s="40"/>
      <c r="L59" s="38"/>
      <c r="M59" s="41"/>
    </row>
    <row r="60" spans="1:13" s="17" customFormat="1" ht="15">
      <c r="A60" s="36"/>
      <c r="B60" s="42"/>
      <c r="C60" s="38"/>
      <c r="D60" s="38"/>
      <c r="E60" s="38"/>
      <c r="F60" s="38"/>
      <c r="G60" s="38"/>
      <c r="H60" s="38"/>
      <c r="I60" s="38"/>
      <c r="J60" s="39"/>
      <c r="K60" s="40"/>
      <c r="L60" s="38"/>
      <c r="M60" s="41"/>
    </row>
    <row r="61" s="17" customFormat="1" ht="15">
      <c r="B61" s="43" t="s">
        <v>63</v>
      </c>
    </row>
    <row r="62" s="17" customFormat="1" ht="12.75">
      <c r="B62" s="44"/>
    </row>
    <row r="63" s="17" customFormat="1" ht="15">
      <c r="B63" s="43" t="s">
        <v>64</v>
      </c>
    </row>
  </sheetData>
  <sheetProtection/>
  <mergeCells count="13">
    <mergeCell ref="I10:I11"/>
    <mergeCell ref="J10:J11"/>
    <mergeCell ref="K10:K11"/>
    <mergeCell ref="L10:L11"/>
    <mergeCell ref="M10:M11"/>
    <mergeCell ref="B8:H8"/>
    <mergeCell ref="B10:B11"/>
    <mergeCell ref="C10:C11"/>
    <mergeCell ref="D10:D11"/>
    <mergeCell ref="E10:E11"/>
    <mergeCell ref="F10:F11"/>
    <mergeCell ref="G10:G11"/>
    <mergeCell ref="H10:H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67">
      <selection activeCell="E25" sqref="E25"/>
    </sheetView>
  </sheetViews>
  <sheetFormatPr defaultColWidth="9.00390625" defaultRowHeight="12.75"/>
  <cols>
    <col min="1" max="1" width="2.00390625" style="0" customWidth="1"/>
    <col min="2" max="2" width="43.25390625" style="0" customWidth="1"/>
    <col min="3" max="3" width="11.125" style="0" customWidth="1"/>
    <col min="4" max="4" width="19.875" style="0" customWidth="1"/>
    <col min="5" max="5" width="20.625" style="0" customWidth="1"/>
    <col min="6" max="9" width="25.875" style="0" customWidth="1"/>
  </cols>
  <sheetData>
    <row r="1" spans="1:5" ht="14.25">
      <c r="A1" s="53"/>
      <c r="B1" s="53"/>
      <c r="C1" s="63"/>
      <c r="D1" s="63" t="s">
        <v>108</v>
      </c>
      <c r="E1" s="53"/>
    </row>
    <row r="2" spans="1:5" ht="14.25">
      <c r="A2" s="53"/>
      <c r="B2" s="53"/>
      <c r="C2" s="63" t="s">
        <v>1</v>
      </c>
      <c r="D2" s="63"/>
      <c r="E2" s="53"/>
    </row>
    <row r="3" spans="1:5" ht="14.25">
      <c r="A3" s="53"/>
      <c r="B3" s="53"/>
      <c r="C3" s="63" t="s">
        <v>109</v>
      </c>
      <c r="D3" s="63"/>
      <c r="E3" s="53"/>
    </row>
    <row r="4" spans="1:5" ht="14.25">
      <c r="A4" s="53"/>
      <c r="B4" s="53"/>
      <c r="C4" s="53"/>
      <c r="D4" s="53"/>
      <c r="E4" s="53"/>
    </row>
    <row r="5" spans="1:5" ht="14.25">
      <c r="A5" s="53"/>
      <c r="B5" s="53"/>
      <c r="C5" s="86" t="s">
        <v>110</v>
      </c>
      <c r="D5" s="53"/>
      <c r="E5" s="63"/>
    </row>
    <row r="6" spans="1:5" ht="14.25">
      <c r="A6" s="53"/>
      <c r="B6" s="53"/>
      <c r="C6" s="86"/>
      <c r="D6" s="53"/>
      <c r="E6" s="63"/>
    </row>
    <row r="7" spans="1:5" ht="12.75" customHeight="1">
      <c r="A7" s="53"/>
      <c r="B7" s="365" t="s">
        <v>659</v>
      </c>
      <c r="C7" s="366"/>
      <c r="D7" s="53"/>
      <c r="E7" s="63"/>
    </row>
    <row r="8" spans="1:5" ht="15">
      <c r="A8" s="53"/>
      <c r="B8" s="53"/>
      <c r="C8" s="87"/>
      <c r="D8" s="53"/>
      <c r="E8" s="63"/>
    </row>
    <row r="9" spans="1:5" ht="14.25">
      <c r="A9" s="53"/>
      <c r="B9" s="63"/>
      <c r="C9" s="63"/>
      <c r="D9" s="63"/>
      <c r="E9" s="45" t="s">
        <v>111</v>
      </c>
    </row>
    <row r="10" spans="1:5" ht="15" thickBot="1">
      <c r="A10" s="53"/>
      <c r="B10" s="63"/>
      <c r="C10" s="63"/>
      <c r="D10" s="63"/>
      <c r="E10" s="63"/>
    </row>
    <row r="11" spans="1:5" ht="33.75" customHeight="1" thickBot="1">
      <c r="A11" s="53"/>
      <c r="B11" s="46" t="s">
        <v>112</v>
      </c>
      <c r="C11" s="47" t="s">
        <v>6</v>
      </c>
      <c r="D11" s="47" t="s">
        <v>113</v>
      </c>
      <c r="E11" s="47" t="s">
        <v>114</v>
      </c>
    </row>
    <row r="12" spans="1:5" ht="13.5" customHeight="1" thickBot="1">
      <c r="A12" s="53"/>
      <c r="B12" s="367" t="s">
        <v>115</v>
      </c>
      <c r="C12" s="368"/>
      <c r="D12" s="368"/>
      <c r="E12" s="395"/>
    </row>
    <row r="13" spans="1:7" ht="35.25" customHeight="1" thickBot="1">
      <c r="A13" s="53"/>
      <c r="B13" s="48" t="s">
        <v>116</v>
      </c>
      <c r="C13" s="49">
        <v>10</v>
      </c>
      <c r="D13" s="64">
        <f>SUM(D14:D20)</f>
        <v>6782128.99443</v>
      </c>
      <c r="E13" s="64">
        <f>SUM(E14:E20)</f>
        <v>9562296</v>
      </c>
      <c r="G13" s="11"/>
    </row>
    <row r="14" spans="1:5" ht="22.5" customHeight="1" thickBot="1">
      <c r="A14" s="53"/>
      <c r="B14" s="48" t="s">
        <v>117</v>
      </c>
      <c r="C14" s="49"/>
      <c r="D14" s="78"/>
      <c r="E14" s="50"/>
    </row>
    <row r="15" spans="1:5" ht="15.75" customHeight="1" thickBot="1">
      <c r="A15" s="53"/>
      <c r="B15" s="66" t="s">
        <v>118</v>
      </c>
      <c r="C15" s="67">
        <v>11</v>
      </c>
      <c r="D15" s="50">
        <v>6567000.01</v>
      </c>
      <c r="E15" s="50">
        <v>9077032</v>
      </c>
    </row>
    <row r="16" spans="1:5" ht="18" customHeight="1" thickBot="1">
      <c r="A16" s="53"/>
      <c r="B16" s="66" t="s">
        <v>119</v>
      </c>
      <c r="C16" s="67">
        <v>12</v>
      </c>
      <c r="D16" s="50"/>
      <c r="E16" s="50"/>
    </row>
    <row r="17" spans="1:7" ht="29.25" customHeight="1" thickBot="1">
      <c r="A17" s="53"/>
      <c r="B17" s="66" t="s">
        <v>120</v>
      </c>
      <c r="C17" s="67">
        <v>13</v>
      </c>
      <c r="D17" s="50">
        <f>76982.268</f>
        <v>76982.268</v>
      </c>
      <c r="E17" s="50">
        <v>179295</v>
      </c>
      <c r="G17" s="54"/>
    </row>
    <row r="18" spans="1:5" ht="18" customHeight="1" thickBot="1">
      <c r="A18" s="53"/>
      <c r="B18" s="66" t="s">
        <v>121</v>
      </c>
      <c r="C18" s="67">
        <v>14</v>
      </c>
      <c r="D18" s="50"/>
      <c r="E18" s="50"/>
    </row>
    <row r="19" spans="1:5" ht="15" customHeight="1" thickBot="1">
      <c r="A19" s="53"/>
      <c r="B19" s="66" t="s">
        <v>122</v>
      </c>
      <c r="C19" s="67">
        <v>15</v>
      </c>
      <c r="D19" s="50"/>
      <c r="E19" s="50"/>
    </row>
    <row r="20" spans="1:5" ht="41.25" customHeight="1" thickBot="1">
      <c r="A20" s="53"/>
      <c r="B20" s="66" t="s">
        <v>123</v>
      </c>
      <c r="C20" s="67">
        <v>16</v>
      </c>
      <c r="D20" s="50">
        <f>138146.71643</f>
        <v>138146.71643</v>
      </c>
      <c r="E20" s="50">
        <v>305969</v>
      </c>
    </row>
    <row r="21" spans="1:5" ht="36" customHeight="1" thickBot="1">
      <c r="A21" s="53"/>
      <c r="B21" s="66" t="s">
        <v>124</v>
      </c>
      <c r="C21" s="67">
        <v>20</v>
      </c>
      <c r="D21" s="68">
        <f>SUM(D23:D29)</f>
        <v>4899360.29788</v>
      </c>
      <c r="E21" s="68">
        <f>SUM(E23:E29)</f>
        <v>7364169</v>
      </c>
    </row>
    <row r="22" spans="1:5" ht="15" thickBot="1">
      <c r="A22" s="53"/>
      <c r="B22" s="66" t="s">
        <v>117</v>
      </c>
      <c r="C22" s="67"/>
      <c r="D22" s="50"/>
      <c r="E22" s="50"/>
    </row>
    <row r="23" spans="1:5" ht="21" customHeight="1" thickBot="1">
      <c r="A23" s="53"/>
      <c r="B23" s="66" t="s">
        <v>125</v>
      </c>
      <c r="C23" s="67">
        <v>21</v>
      </c>
      <c r="D23" s="50">
        <v>3154002.353</v>
      </c>
      <c r="E23" s="50">
        <v>4323119</v>
      </c>
    </row>
    <row r="24" spans="1:5" ht="33" customHeight="1" thickBot="1">
      <c r="A24" s="53"/>
      <c r="B24" s="66" t="s">
        <v>126</v>
      </c>
      <c r="C24" s="67">
        <v>22</v>
      </c>
      <c r="D24" s="50"/>
      <c r="E24" s="50">
        <v>300215</v>
      </c>
    </row>
    <row r="25" spans="1:5" ht="15" thickBot="1">
      <c r="A25" s="53"/>
      <c r="B25" s="66" t="s">
        <v>127</v>
      </c>
      <c r="C25" s="67">
        <v>23</v>
      </c>
      <c r="D25" s="50">
        <f>574430.392+105275.078+143193.905</f>
        <v>822899.375</v>
      </c>
      <c r="E25" s="50">
        <v>1209299</v>
      </c>
    </row>
    <row r="26" spans="1:5" ht="16.5" customHeight="1" thickBot="1">
      <c r="A26" s="53"/>
      <c r="B26" s="66" t="s">
        <v>128</v>
      </c>
      <c r="C26" s="67">
        <v>24</v>
      </c>
      <c r="D26" s="50">
        <v>130393.6</v>
      </c>
      <c r="E26" s="50">
        <v>256803</v>
      </c>
    </row>
    <row r="27" spans="1:5" ht="24" customHeight="1" thickBot="1">
      <c r="A27" s="53"/>
      <c r="B27" s="66" t="s">
        <v>129</v>
      </c>
      <c r="C27" s="67">
        <v>25</v>
      </c>
      <c r="D27" s="50"/>
      <c r="E27" s="50"/>
    </row>
    <row r="28" spans="1:5" ht="28.5" customHeight="1" thickBot="1">
      <c r="A28" s="53"/>
      <c r="B28" s="66" t="s">
        <v>130</v>
      </c>
      <c r="C28" s="67">
        <v>26</v>
      </c>
      <c r="D28" s="50">
        <f>314682.45+11201.14+24894.949+24894.949+84502.023</f>
        <v>460175.51100000006</v>
      </c>
      <c r="E28" s="50">
        <v>1140659</v>
      </c>
    </row>
    <row r="29" spans="1:5" ht="15" thickBot="1">
      <c r="A29" s="53"/>
      <c r="B29" s="66" t="s">
        <v>131</v>
      </c>
      <c r="C29" s="67">
        <v>27</v>
      </c>
      <c r="D29" s="50">
        <f>257638.639+33672.70988+40578.11</f>
        <v>331889.45888</v>
      </c>
      <c r="E29" s="50">
        <v>134074</v>
      </c>
    </row>
    <row r="30" spans="1:7" ht="52.5" customHeight="1" thickBot="1">
      <c r="A30" s="53"/>
      <c r="B30" s="66" t="s">
        <v>132</v>
      </c>
      <c r="C30" s="67">
        <v>30</v>
      </c>
      <c r="D30" s="68">
        <f>D13-D21</f>
        <v>1882768.6965499995</v>
      </c>
      <c r="E30" s="68">
        <f>E13-E21</f>
        <v>2198127</v>
      </c>
      <c r="G30" s="11"/>
    </row>
    <row r="31" spans="1:5" ht="13.5" customHeight="1" thickBot="1">
      <c r="A31" s="53"/>
      <c r="B31" s="369" t="s">
        <v>133</v>
      </c>
      <c r="C31" s="370"/>
      <c r="D31" s="370"/>
      <c r="E31" s="396"/>
    </row>
    <row r="32" spans="1:5" ht="43.5" customHeight="1" thickBot="1">
      <c r="A32" s="53"/>
      <c r="B32" s="66" t="s">
        <v>134</v>
      </c>
      <c r="C32" s="67">
        <v>40</v>
      </c>
      <c r="D32" s="50">
        <f>SUM(D33:D44)</f>
        <v>0</v>
      </c>
      <c r="E32" s="50">
        <f>SUM(E33:E44)</f>
        <v>0</v>
      </c>
    </row>
    <row r="33" spans="1:5" ht="15" thickBot="1">
      <c r="A33" s="53"/>
      <c r="B33" s="66" t="s">
        <v>117</v>
      </c>
      <c r="C33" s="67"/>
      <c r="D33" s="50"/>
      <c r="E33" s="50"/>
    </row>
    <row r="34" spans="1:5" ht="18" customHeight="1" thickBot="1">
      <c r="A34" s="53"/>
      <c r="B34" s="66" t="s">
        <v>135</v>
      </c>
      <c r="C34" s="67">
        <v>41</v>
      </c>
      <c r="D34" s="50"/>
      <c r="E34" s="50"/>
    </row>
    <row r="35" spans="1:5" ht="25.5" customHeight="1" thickBot="1">
      <c r="A35" s="53"/>
      <c r="B35" s="66" t="s">
        <v>136</v>
      </c>
      <c r="C35" s="67">
        <v>42</v>
      </c>
      <c r="D35" s="50"/>
      <c r="E35" s="50"/>
    </row>
    <row r="36" spans="1:5" ht="17.25" customHeight="1" thickBot="1">
      <c r="A36" s="53"/>
      <c r="B36" s="66" t="s">
        <v>137</v>
      </c>
      <c r="C36" s="67">
        <v>43</v>
      </c>
      <c r="D36" s="50"/>
      <c r="E36" s="50"/>
    </row>
    <row r="37" spans="1:5" ht="41.25" customHeight="1" thickBot="1">
      <c r="A37" s="53"/>
      <c r="B37" s="66" t="s">
        <v>138</v>
      </c>
      <c r="C37" s="67">
        <v>44</v>
      </c>
      <c r="D37" s="50"/>
      <c r="E37" s="50"/>
    </row>
    <row r="38" spans="1:5" ht="34.5" customHeight="1" thickBot="1">
      <c r="A38" s="53"/>
      <c r="B38" s="66" t="s">
        <v>139</v>
      </c>
      <c r="C38" s="67">
        <v>45</v>
      </c>
      <c r="D38" s="50"/>
      <c r="E38" s="50"/>
    </row>
    <row r="39" spans="1:5" ht="36.75" customHeight="1" thickBot="1">
      <c r="A39" s="53"/>
      <c r="B39" s="66" t="s">
        <v>140</v>
      </c>
      <c r="C39" s="67">
        <v>46</v>
      </c>
      <c r="D39" s="50"/>
      <c r="E39" s="50"/>
    </row>
    <row r="40" spans="1:5" ht="31.5" customHeight="1" thickBot="1">
      <c r="A40" s="53"/>
      <c r="B40" s="66" t="s">
        <v>141</v>
      </c>
      <c r="C40" s="67">
        <v>47</v>
      </c>
      <c r="D40" s="50"/>
      <c r="E40" s="50"/>
    </row>
    <row r="41" spans="1:5" ht="33.75" customHeight="1" thickBot="1">
      <c r="A41" s="53"/>
      <c r="B41" s="66" t="s">
        <v>142</v>
      </c>
      <c r="C41" s="67">
        <v>48</v>
      </c>
      <c r="D41" s="50"/>
      <c r="E41" s="50"/>
    </row>
    <row r="42" spans="1:5" ht="22.5" customHeight="1" thickBot="1">
      <c r="A42" s="53"/>
      <c r="B42" s="66" t="s">
        <v>143</v>
      </c>
      <c r="C42" s="67">
        <v>49</v>
      </c>
      <c r="D42" s="50"/>
      <c r="E42" s="50"/>
    </row>
    <row r="43" spans="1:5" ht="18" customHeight="1" thickBot="1">
      <c r="A43" s="53"/>
      <c r="B43" s="66" t="s">
        <v>122</v>
      </c>
      <c r="C43" s="67">
        <v>50</v>
      </c>
      <c r="D43" s="50"/>
      <c r="E43" s="50"/>
    </row>
    <row r="44" spans="1:5" ht="21.75" customHeight="1" thickBot="1">
      <c r="A44" s="53"/>
      <c r="B44" s="66" t="s">
        <v>123</v>
      </c>
      <c r="C44" s="67">
        <v>51</v>
      </c>
      <c r="D44" s="50"/>
      <c r="E44" s="50"/>
    </row>
    <row r="45" spans="1:7" ht="42.75" customHeight="1" thickBot="1">
      <c r="A45" s="53"/>
      <c r="B45" s="66" t="s">
        <v>144</v>
      </c>
      <c r="C45" s="67">
        <v>60</v>
      </c>
      <c r="D45" s="68">
        <f>SUM(D47:D49)</f>
        <v>1954635.7290000003</v>
      </c>
      <c r="E45" s="68">
        <f>SUM(E47:E49)</f>
        <v>2062631</v>
      </c>
      <c r="G45" s="11"/>
    </row>
    <row r="46" spans="1:5" ht="15" thickBot="1">
      <c r="A46" s="53"/>
      <c r="B46" s="66" t="s">
        <v>117</v>
      </c>
      <c r="C46" s="67"/>
      <c r="D46" s="50"/>
      <c r="E46" s="50"/>
    </row>
    <row r="47" spans="1:5" ht="29.25" customHeight="1" thickBot="1">
      <c r="A47" s="53"/>
      <c r="B47" s="66" t="s">
        <v>145</v>
      </c>
      <c r="C47" s="67">
        <v>61</v>
      </c>
      <c r="D47" s="103">
        <f>1592846.341+250876.8-1680+6688.191</f>
        <v>1848731.3320000002</v>
      </c>
      <c r="E47" s="103">
        <v>2037962</v>
      </c>
    </row>
    <row r="48" spans="1:5" ht="18" customHeight="1" thickBot="1">
      <c r="A48" s="53"/>
      <c r="B48" s="66" t="s">
        <v>146</v>
      </c>
      <c r="C48" s="67">
        <v>62</v>
      </c>
      <c r="D48" s="103">
        <f>66507.672+2142.857</f>
        <v>68650.52900000001</v>
      </c>
      <c r="E48" s="103">
        <v>22229</v>
      </c>
    </row>
    <row r="49" spans="1:5" ht="27" customHeight="1" thickBot="1">
      <c r="A49" s="53"/>
      <c r="B49" s="66" t="s">
        <v>147</v>
      </c>
      <c r="C49" s="67">
        <v>63</v>
      </c>
      <c r="D49" s="103">
        <f>1133.868+36120</f>
        <v>37253.868</v>
      </c>
      <c r="E49" s="103">
        <v>2440</v>
      </c>
    </row>
    <row r="50" spans="1:5" ht="41.25" customHeight="1" thickBot="1">
      <c r="A50" s="53"/>
      <c r="B50" s="66" t="s">
        <v>148</v>
      </c>
      <c r="C50" s="67">
        <v>64</v>
      </c>
      <c r="D50" s="50"/>
      <c r="E50" s="50"/>
    </row>
    <row r="51" spans="1:5" ht="30.75" customHeight="1" thickBot="1">
      <c r="A51" s="53"/>
      <c r="B51" s="66" t="s">
        <v>149</v>
      </c>
      <c r="C51" s="67">
        <v>65</v>
      </c>
      <c r="D51" s="50"/>
      <c r="E51" s="50"/>
    </row>
    <row r="52" spans="1:5" ht="37.5" customHeight="1" thickBot="1">
      <c r="A52" s="53"/>
      <c r="B52" s="66" t="s">
        <v>150</v>
      </c>
      <c r="C52" s="67">
        <v>66</v>
      </c>
      <c r="D52" s="50"/>
      <c r="E52" s="50"/>
    </row>
    <row r="53" spans="1:5" ht="16.5" customHeight="1" thickBot="1">
      <c r="A53" s="53"/>
      <c r="B53" s="66" t="s">
        <v>151</v>
      </c>
      <c r="C53" s="67">
        <v>67</v>
      </c>
      <c r="D53" s="50"/>
      <c r="E53" s="50"/>
    </row>
    <row r="54" spans="1:5" ht="15" thickBot="1">
      <c r="A54" s="53"/>
      <c r="B54" s="66" t="s">
        <v>152</v>
      </c>
      <c r="C54" s="67">
        <v>68</v>
      </c>
      <c r="D54" s="50"/>
      <c r="E54" s="50"/>
    </row>
    <row r="55" spans="1:5" ht="32.25" customHeight="1" thickBot="1">
      <c r="A55" s="53"/>
      <c r="B55" s="66" t="s">
        <v>142</v>
      </c>
      <c r="C55" s="67">
        <v>69</v>
      </c>
      <c r="D55" s="50"/>
      <c r="E55" s="50"/>
    </row>
    <row r="56" spans="1:5" ht="43.5" customHeight="1" thickBot="1">
      <c r="A56" s="53"/>
      <c r="B56" s="66" t="s">
        <v>153</v>
      </c>
      <c r="C56" s="67">
        <v>70</v>
      </c>
      <c r="D56" s="50"/>
      <c r="E56" s="50"/>
    </row>
    <row r="57" spans="1:5" ht="15" thickBot="1">
      <c r="A57" s="53"/>
      <c r="B57" s="66" t="s">
        <v>131</v>
      </c>
      <c r="C57" s="67">
        <v>71</v>
      </c>
      <c r="D57" s="50"/>
      <c r="E57" s="50"/>
    </row>
    <row r="58" spans="1:5" ht="42" customHeight="1" thickBot="1">
      <c r="A58" s="53"/>
      <c r="B58" s="66" t="s">
        <v>154</v>
      </c>
      <c r="C58" s="67">
        <v>80</v>
      </c>
      <c r="D58" s="50">
        <f>D32-D45</f>
        <v>-1954635.7290000003</v>
      </c>
      <c r="E58" s="103">
        <f>E32-E45</f>
        <v>-2062631</v>
      </c>
    </row>
    <row r="59" spans="1:5" ht="13.5" customHeight="1" thickBot="1">
      <c r="A59" s="53"/>
      <c r="B59" s="369" t="s">
        <v>155</v>
      </c>
      <c r="C59" s="370"/>
      <c r="D59" s="370"/>
      <c r="E59" s="396"/>
    </row>
    <row r="60" spans="1:5" ht="44.25" customHeight="1" thickBot="1">
      <c r="A60" s="53"/>
      <c r="B60" s="66" t="s">
        <v>156</v>
      </c>
      <c r="C60" s="67">
        <v>90</v>
      </c>
      <c r="D60" s="68">
        <f>D65+D64+D63+D62</f>
        <v>2345668.146</v>
      </c>
      <c r="E60" s="68">
        <f>E65+E64+E63+E62</f>
        <v>1601988</v>
      </c>
    </row>
    <row r="61" spans="1:5" ht="15" thickBot="1">
      <c r="A61" s="53"/>
      <c r="B61" s="66" t="s">
        <v>117</v>
      </c>
      <c r="C61" s="67"/>
      <c r="D61" s="50"/>
      <c r="E61" s="50"/>
    </row>
    <row r="62" spans="1:5" ht="29.25" customHeight="1" thickBot="1">
      <c r="A62" s="53"/>
      <c r="B62" s="66" t="s">
        <v>157</v>
      </c>
      <c r="C62" s="67">
        <v>91</v>
      </c>
      <c r="D62" s="50"/>
      <c r="E62" s="50"/>
    </row>
    <row r="63" spans="1:5" ht="15" thickBot="1">
      <c r="A63" s="53"/>
      <c r="B63" s="66" t="s">
        <v>158</v>
      </c>
      <c r="C63" s="67">
        <v>92</v>
      </c>
      <c r="D63" s="50">
        <f>1577306.03+766956.337</f>
        <v>2344262.367</v>
      </c>
      <c r="E63" s="50">
        <v>1601764</v>
      </c>
    </row>
    <row r="64" spans="1:5" ht="25.5" customHeight="1" thickBot="1">
      <c r="A64" s="53"/>
      <c r="B64" s="66" t="s">
        <v>122</v>
      </c>
      <c r="C64" s="67">
        <v>93</v>
      </c>
      <c r="D64" s="50"/>
      <c r="E64" s="50"/>
    </row>
    <row r="65" spans="1:5" ht="17.25" customHeight="1" thickBot="1">
      <c r="A65" s="53"/>
      <c r="B65" s="66" t="s">
        <v>123</v>
      </c>
      <c r="C65" s="67">
        <v>94</v>
      </c>
      <c r="D65" s="50">
        <v>1405.779</v>
      </c>
      <c r="E65" s="69">
        <v>224</v>
      </c>
    </row>
    <row r="66" spans="1:7" ht="28.5" customHeight="1" thickBot="1">
      <c r="A66" s="53"/>
      <c r="B66" s="66" t="s">
        <v>159</v>
      </c>
      <c r="C66" s="67">
        <v>100</v>
      </c>
      <c r="D66" s="68">
        <f>SUM(D68:D72)</f>
        <v>1354679.4619999998</v>
      </c>
      <c r="E66" s="68">
        <f>SUM(E68:E72)</f>
        <v>1239617</v>
      </c>
      <c r="G66" s="11"/>
    </row>
    <row r="67" spans="1:7" ht="18.75" customHeight="1" thickBot="1">
      <c r="A67" s="53"/>
      <c r="B67" s="66" t="s">
        <v>117</v>
      </c>
      <c r="C67" s="67"/>
      <c r="D67" s="50"/>
      <c r="E67" s="50"/>
      <c r="G67" s="11"/>
    </row>
    <row r="68" spans="1:5" ht="19.5" customHeight="1" thickBot="1">
      <c r="A68" s="53"/>
      <c r="B68" s="66" t="s">
        <v>160</v>
      </c>
      <c r="C68" s="67">
        <v>101</v>
      </c>
      <c r="D68" s="50">
        <v>789920</v>
      </c>
      <c r="E68" s="50">
        <v>790190</v>
      </c>
    </row>
    <row r="69" spans="1:5" ht="22.5" customHeight="1" thickBot="1">
      <c r="A69" s="53"/>
      <c r="B69" s="66" t="s">
        <v>128</v>
      </c>
      <c r="C69" s="67">
        <v>102</v>
      </c>
      <c r="D69" s="50"/>
      <c r="E69" s="50"/>
    </row>
    <row r="70" spans="1:5" ht="18" customHeight="1" thickBot="1">
      <c r="A70" s="53"/>
      <c r="B70" s="66" t="s">
        <v>161</v>
      </c>
      <c r="C70" s="67">
        <v>103</v>
      </c>
      <c r="D70" s="50">
        <f>4474.558+429011.209+214.065</f>
        <v>433699.832</v>
      </c>
      <c r="E70" s="50">
        <v>254613</v>
      </c>
    </row>
    <row r="71" spans="1:5" ht="18.75" customHeight="1" thickBot="1">
      <c r="A71" s="53"/>
      <c r="B71" s="66" t="s">
        <v>162</v>
      </c>
      <c r="C71" s="67">
        <v>104</v>
      </c>
      <c r="D71" s="50"/>
      <c r="E71" s="50"/>
    </row>
    <row r="72" spans="1:5" ht="15" thickBot="1">
      <c r="A72" s="53"/>
      <c r="B72" s="66" t="s">
        <v>163</v>
      </c>
      <c r="C72" s="67">
        <v>105</v>
      </c>
      <c r="D72" s="50">
        <f>97239.772+16207.039+17612.819</f>
        <v>131059.63</v>
      </c>
      <c r="E72" s="50">
        <v>194814</v>
      </c>
    </row>
    <row r="73" spans="1:5" ht="37.5" customHeight="1" thickBot="1">
      <c r="A73" s="53"/>
      <c r="B73" s="66" t="s">
        <v>164</v>
      </c>
      <c r="C73" s="67">
        <v>110</v>
      </c>
      <c r="D73" s="68">
        <f>D60-D66</f>
        <v>990988.6840000004</v>
      </c>
      <c r="E73" s="68">
        <f>E60-E66</f>
        <v>362371</v>
      </c>
    </row>
    <row r="74" spans="1:5" ht="15.75" customHeight="1" thickBot="1">
      <c r="A74" s="53"/>
      <c r="B74" s="66" t="s">
        <v>165</v>
      </c>
      <c r="C74" s="67">
        <v>120</v>
      </c>
      <c r="D74" s="50"/>
      <c r="E74" s="50"/>
    </row>
    <row r="75" spans="1:7" ht="27" customHeight="1" thickBot="1">
      <c r="A75" s="53"/>
      <c r="B75" s="48" t="s">
        <v>166</v>
      </c>
      <c r="C75" s="49">
        <v>130</v>
      </c>
      <c r="D75" s="64">
        <f>D30+D58+D73</f>
        <v>919121.6515499996</v>
      </c>
      <c r="E75" s="64">
        <f>E30+E58+E73</f>
        <v>497867</v>
      </c>
      <c r="F75" s="51"/>
      <c r="G75" s="11"/>
    </row>
    <row r="76" spans="1:5" ht="41.25" customHeight="1" thickBot="1">
      <c r="A76" s="53"/>
      <c r="B76" s="48" t="s">
        <v>167</v>
      </c>
      <c r="C76" s="49">
        <v>140</v>
      </c>
      <c r="D76" s="64">
        <v>1720310</v>
      </c>
      <c r="E76" s="64">
        <v>1222443</v>
      </c>
    </row>
    <row r="77" spans="1:5" ht="39" customHeight="1" thickBot="1">
      <c r="A77" s="53"/>
      <c r="B77" s="48" t="s">
        <v>168</v>
      </c>
      <c r="C77" s="46">
        <v>150</v>
      </c>
      <c r="D77" s="81">
        <f>D76+D75</f>
        <v>2639431.6515499996</v>
      </c>
      <c r="E77" s="81">
        <f>E76+E75</f>
        <v>1720310</v>
      </c>
    </row>
    <row r="78" spans="1:5" ht="14.25">
      <c r="A78" s="53"/>
      <c r="B78" s="63"/>
      <c r="C78" s="79"/>
      <c r="D78" s="82"/>
      <c r="E78" s="83"/>
    </row>
    <row r="79" spans="1:5" ht="15">
      <c r="A79" s="53"/>
      <c r="B79" s="63"/>
      <c r="C79" s="79"/>
      <c r="D79" s="80"/>
      <c r="E79" s="79"/>
    </row>
    <row r="80" spans="2:5" ht="12.75">
      <c r="B80" s="65" t="s">
        <v>63</v>
      </c>
      <c r="C80" s="79"/>
      <c r="D80" s="83"/>
      <c r="E80" s="79"/>
    </row>
    <row r="81" spans="2:5" ht="12.75">
      <c r="B81" s="71"/>
      <c r="C81" s="63"/>
      <c r="D81" s="70"/>
      <c r="E81" s="63"/>
    </row>
    <row r="82" spans="2:5" ht="12.75">
      <c r="B82" s="71" t="s">
        <v>64</v>
      </c>
      <c r="C82" s="63"/>
      <c r="D82" s="63"/>
      <c r="E82" s="63"/>
    </row>
    <row r="83" ht="18">
      <c r="B83" s="84"/>
    </row>
  </sheetData>
  <sheetProtection/>
  <mergeCells count="4">
    <mergeCell ref="B7:C7"/>
    <mergeCell ref="B12:E12"/>
    <mergeCell ref="B31:E31"/>
    <mergeCell ref="B59:E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65"/>
  <sheetViews>
    <sheetView zoomScalePageLayoutView="0" workbookViewId="0" topLeftCell="A37">
      <selection activeCell="Y49" sqref="Y49:Y63"/>
    </sheetView>
  </sheetViews>
  <sheetFormatPr defaultColWidth="37.125" defaultRowHeight="12.75"/>
  <cols>
    <col min="1" max="1" width="32.625" style="0" customWidth="1"/>
    <col min="2" max="2" width="0.2421875" style="0" hidden="1" customWidth="1"/>
    <col min="3" max="3" width="15.625" style="0" hidden="1" customWidth="1"/>
    <col min="4" max="4" width="21.25390625" style="0" hidden="1" customWidth="1"/>
    <col min="5" max="5" width="0.12890625" style="0" hidden="1" customWidth="1"/>
    <col min="6" max="6" width="27.25390625" style="0" hidden="1" customWidth="1"/>
    <col min="7" max="7" width="0.12890625" style="0" hidden="1" customWidth="1"/>
    <col min="8" max="8" width="19.00390625" style="0" hidden="1" customWidth="1"/>
    <col min="9" max="9" width="20.625" style="0" hidden="1" customWidth="1"/>
    <col min="10" max="10" width="17.875" style="0" hidden="1" customWidth="1"/>
    <col min="11" max="11" width="15.875" style="0" hidden="1" customWidth="1"/>
    <col min="12" max="12" width="21.75390625" style="0" hidden="1" customWidth="1"/>
    <col min="13" max="13" width="19.125" style="0" hidden="1" customWidth="1"/>
    <col min="14" max="14" width="0.12890625" style="0" hidden="1" customWidth="1"/>
    <col min="15" max="15" width="29.125" style="0" hidden="1" customWidth="1"/>
    <col min="16" max="16" width="0.12890625" style="0" customWidth="1"/>
    <col min="17" max="17" width="17.25390625" style="0" customWidth="1"/>
    <col min="18" max="18" width="16.125" style="0" customWidth="1"/>
    <col min="19" max="19" width="18.375" style="0" customWidth="1"/>
    <col min="20" max="20" width="16.75390625" style="0" customWidth="1"/>
    <col min="21" max="21" width="21.375" style="0" customWidth="1"/>
    <col min="22" max="22" width="18.625" style="0" customWidth="1"/>
    <col min="23" max="23" width="17.75390625" style="0" customWidth="1"/>
    <col min="24" max="25" width="17.25390625" style="0" customWidth="1"/>
    <col min="26" max="26" width="14.25390625" style="0" customWidth="1"/>
    <col min="27" max="27" width="14.625" style="0" customWidth="1"/>
  </cols>
  <sheetData>
    <row r="1" ht="35.25" customHeight="1" thickBot="1">
      <c r="A1" s="248" t="s">
        <v>596</v>
      </c>
    </row>
    <row r="2" spans="1:27" ht="68.25" customHeight="1" thickBot="1">
      <c r="A2" s="249"/>
      <c r="B2" s="250">
        <v>41640</v>
      </c>
      <c r="C2" s="251">
        <v>41671</v>
      </c>
      <c r="D2" s="251">
        <v>41699</v>
      </c>
      <c r="E2" s="252" t="s">
        <v>597</v>
      </c>
      <c r="F2" s="253" t="s">
        <v>598</v>
      </c>
      <c r="G2" s="254"/>
      <c r="H2" s="255" t="s">
        <v>599</v>
      </c>
      <c r="I2" s="255" t="s">
        <v>600</v>
      </c>
      <c r="J2" s="256" t="s">
        <v>601</v>
      </c>
      <c r="K2" s="253" t="s">
        <v>602</v>
      </c>
      <c r="L2" s="257" t="s">
        <v>603</v>
      </c>
      <c r="M2" s="253" t="s">
        <v>604</v>
      </c>
      <c r="N2" s="257" t="s">
        <v>605</v>
      </c>
      <c r="O2" s="253" t="s">
        <v>606</v>
      </c>
      <c r="P2" s="257" t="s">
        <v>607</v>
      </c>
      <c r="Q2" s="258" t="s">
        <v>604</v>
      </c>
      <c r="R2" s="257" t="s">
        <v>608</v>
      </c>
      <c r="S2" s="259" t="s">
        <v>609</v>
      </c>
      <c r="T2" s="257" t="s">
        <v>610</v>
      </c>
      <c r="U2" s="258" t="s">
        <v>604</v>
      </c>
      <c r="V2" s="257" t="s">
        <v>611</v>
      </c>
      <c r="W2" s="259" t="s">
        <v>652</v>
      </c>
      <c r="X2" s="257" t="s">
        <v>653</v>
      </c>
      <c r="Y2" s="258" t="s">
        <v>604</v>
      </c>
      <c r="Z2" s="257" t="s">
        <v>654</v>
      </c>
      <c r="AA2" s="259" t="s">
        <v>655</v>
      </c>
    </row>
    <row r="3" spans="1:27" ht="23.25" customHeight="1">
      <c r="A3" s="260"/>
      <c r="B3" s="261"/>
      <c r="C3" s="261"/>
      <c r="D3" s="261"/>
      <c r="E3" s="261"/>
      <c r="F3" s="261"/>
      <c r="G3" s="261"/>
      <c r="H3" s="262"/>
      <c r="I3" s="261"/>
      <c r="J3" s="261"/>
      <c r="K3" s="261"/>
      <c r="L3" s="261"/>
      <c r="M3" s="261"/>
      <c r="N3" s="261"/>
      <c r="O3" s="261"/>
      <c r="P3" s="261"/>
      <c r="Q3" s="263"/>
      <c r="R3" s="261"/>
      <c r="S3" s="261"/>
      <c r="T3" s="261"/>
      <c r="U3" s="261"/>
      <c r="V3" s="261"/>
      <c r="W3" s="261"/>
      <c r="X3" s="261"/>
      <c r="Y3" s="261"/>
      <c r="Z3" s="261"/>
      <c r="AA3" s="261"/>
    </row>
    <row r="4" spans="1:27" ht="23.25" customHeight="1">
      <c r="A4" s="264" t="s">
        <v>612</v>
      </c>
      <c r="B4" s="262">
        <v>807228061.65</v>
      </c>
      <c r="C4" s="262">
        <v>754472128.27</v>
      </c>
      <c r="D4" s="262">
        <v>757455877.82</v>
      </c>
      <c r="E4" s="262">
        <f>B4+C4+D4</f>
        <v>2319156067.7400002</v>
      </c>
      <c r="F4" s="262">
        <f>E4/1000</f>
        <v>2319156.0677400003</v>
      </c>
      <c r="G4" s="262"/>
      <c r="H4" s="262">
        <v>685213518.51</v>
      </c>
      <c r="I4" s="261">
        <f>H4/1000</f>
        <v>685213.51851</v>
      </c>
      <c r="J4" s="262">
        <f>E4+H4</f>
        <v>3004369586.25</v>
      </c>
      <c r="K4" s="262">
        <f>F4+I4</f>
        <v>3004369.58625</v>
      </c>
      <c r="L4" s="261">
        <v>650882508.55</v>
      </c>
      <c r="M4" s="262">
        <f>L4+J4</f>
        <v>3655252094.8</v>
      </c>
      <c r="N4" s="262">
        <f>L4/1000</f>
        <v>650882.5085499999</v>
      </c>
      <c r="O4" s="262">
        <f>K4+N4</f>
        <v>3655252.0948</v>
      </c>
      <c r="P4" s="262">
        <v>652869495.55</v>
      </c>
      <c r="Q4" s="265">
        <f>M4+P4</f>
        <v>4308121590.35</v>
      </c>
      <c r="R4" s="261">
        <f>P4/1000</f>
        <v>652869.49555</v>
      </c>
      <c r="S4" s="262">
        <f>(O4+R4)</f>
        <v>4308121.59035</v>
      </c>
      <c r="T4" s="262">
        <v>684790829.83</v>
      </c>
      <c r="U4" s="262">
        <f>Q4+T4</f>
        <v>4992912420.18</v>
      </c>
      <c r="V4" s="261">
        <f>T4/1000</f>
        <v>684790.8298300001</v>
      </c>
      <c r="W4" s="262">
        <f>S4+V4</f>
        <v>4992912.42018</v>
      </c>
      <c r="X4" s="262">
        <v>710108381.79</v>
      </c>
      <c r="Y4" s="262">
        <f>U4+X4</f>
        <v>5703020801.97</v>
      </c>
      <c r="Z4" s="261">
        <f>X4/1000</f>
        <v>710108.38179</v>
      </c>
      <c r="AA4" s="262">
        <f>W4+Z4</f>
        <v>5703020.80197</v>
      </c>
    </row>
    <row r="5" spans="1:27" ht="23.25" customHeight="1">
      <c r="A5" s="264" t="s">
        <v>613</v>
      </c>
      <c r="B5" s="266">
        <v>539319098.29</v>
      </c>
      <c r="C5" s="266">
        <v>512398627.04</v>
      </c>
      <c r="D5" s="267">
        <v>503499849.45</v>
      </c>
      <c r="E5" s="262">
        <f>B5+C5+D5</f>
        <v>1555217574.78</v>
      </c>
      <c r="F5" s="262">
        <f>(E5-310541007+144563978)/1000</f>
        <v>1389240.54578</v>
      </c>
      <c r="G5" s="262"/>
      <c r="H5" s="266">
        <f>477022282.65+697790</f>
        <v>477720072.65</v>
      </c>
      <c r="I5" s="262">
        <f>(H5-103449986+48066692)/1000</f>
        <v>422336.77865</v>
      </c>
      <c r="J5" s="262">
        <f>E5+H5</f>
        <v>2032937647.4299998</v>
      </c>
      <c r="K5" s="262">
        <f>F5+I5</f>
        <v>1811577.32443</v>
      </c>
      <c r="L5" s="261">
        <f>526811376.35+21728</f>
        <v>526833104.35</v>
      </c>
      <c r="M5" s="262">
        <f>L5+J5</f>
        <v>2559770751.7799997</v>
      </c>
      <c r="N5" s="262">
        <f>(L5-103447682-21728+47792786)/1000</f>
        <v>471156.48035</v>
      </c>
      <c r="O5" s="262">
        <f>K5+N5</f>
        <v>2282733.80478</v>
      </c>
      <c r="P5" s="262">
        <f>525643688.93+1904985+9900</f>
        <v>527558573.93</v>
      </c>
      <c r="Q5" s="265">
        <f>M5+P5</f>
        <v>3087329325.7099996</v>
      </c>
      <c r="R5" s="261">
        <f>(P5-103812293-9900-1904985+49418165+9900)/1000</f>
        <v>471259.46093</v>
      </c>
      <c r="S5" s="262">
        <f>O5+R5</f>
        <v>2753993.26571</v>
      </c>
      <c r="T5" s="262">
        <v>516988967.83</v>
      </c>
      <c r="U5" s="262">
        <f>Q5+T5</f>
        <v>3604318293.5399995</v>
      </c>
      <c r="V5" s="261">
        <f>(T5-103974095)/1000+48408.064</f>
        <v>461422.93683</v>
      </c>
      <c r="W5" s="262">
        <f>S5+V5</f>
        <v>3215416.20254</v>
      </c>
      <c r="X5" s="262">
        <f>547406733.78+19898.52+495346</f>
        <v>547921978.3</v>
      </c>
      <c r="Y5" s="262">
        <f>U5+X5</f>
        <v>4152240271.839999</v>
      </c>
      <c r="Z5" s="261">
        <f>(X5-103950029+48417087)/1000</f>
        <v>492389.0363</v>
      </c>
      <c r="AA5" s="262">
        <f>W5+Z5</f>
        <v>3707805.23884</v>
      </c>
    </row>
    <row r="6" spans="1:27" ht="23.25" customHeight="1" thickBot="1">
      <c r="A6" s="268" t="s">
        <v>614</v>
      </c>
      <c r="B6" s="269">
        <f>B4-B5</f>
        <v>267908963.36</v>
      </c>
      <c r="C6" s="269">
        <f>C4-C5</f>
        <v>242073501.22999996</v>
      </c>
      <c r="D6" s="269">
        <f>D4-D5</f>
        <v>253956028.37000006</v>
      </c>
      <c r="E6" s="269">
        <f>E4-E5</f>
        <v>763938492.9600003</v>
      </c>
      <c r="F6" s="269">
        <f>F4-F5</f>
        <v>929915.5219600003</v>
      </c>
      <c r="G6" s="269"/>
      <c r="H6" s="269">
        <f>H4-H5</f>
        <v>207493445.86</v>
      </c>
      <c r="I6" s="269">
        <f>I4-I5</f>
        <v>262876.73986</v>
      </c>
      <c r="J6" s="262">
        <f>E6+H6</f>
        <v>971431938.8200003</v>
      </c>
      <c r="K6" s="269">
        <f aca="true" t="shared" si="0" ref="K6:W6">K4-K5</f>
        <v>1192792.2618200001</v>
      </c>
      <c r="L6" s="269">
        <f t="shared" si="0"/>
        <v>124049404.19999993</v>
      </c>
      <c r="M6" s="269">
        <f t="shared" si="0"/>
        <v>1095481343.0200005</v>
      </c>
      <c r="N6" s="269">
        <f t="shared" si="0"/>
        <v>179726.02819999988</v>
      </c>
      <c r="O6" s="269">
        <f t="shared" si="0"/>
        <v>1372518.2900200002</v>
      </c>
      <c r="P6" s="270">
        <f t="shared" si="0"/>
        <v>125310921.61999995</v>
      </c>
      <c r="Q6" s="271">
        <f t="shared" si="0"/>
        <v>1220792264.6400008</v>
      </c>
      <c r="R6" s="270">
        <f t="shared" si="0"/>
        <v>181610.03462</v>
      </c>
      <c r="S6" s="269">
        <f t="shared" si="0"/>
        <v>1554128.3246400002</v>
      </c>
      <c r="T6" s="269">
        <f t="shared" si="0"/>
        <v>167801862.00000006</v>
      </c>
      <c r="U6" s="269">
        <f t="shared" si="0"/>
        <v>1388594126.6400008</v>
      </c>
      <c r="V6" s="272">
        <f t="shared" si="0"/>
        <v>223367.89300000004</v>
      </c>
      <c r="W6" s="269">
        <f t="shared" si="0"/>
        <v>1777496.2176400004</v>
      </c>
      <c r="X6" s="269">
        <f>X4-X5</f>
        <v>162186403.49</v>
      </c>
      <c r="Y6" s="269">
        <f>Y4-Y5</f>
        <v>1550780530.130001</v>
      </c>
      <c r="Z6" s="272">
        <f>Z4-Z5</f>
        <v>217719.34549000004</v>
      </c>
      <c r="AA6" s="269">
        <f>AA4-AA5</f>
        <v>1995215.5631300006</v>
      </c>
    </row>
    <row r="7" spans="1:27" ht="23.25" customHeight="1" thickBot="1">
      <c r="A7" s="273"/>
      <c r="B7" s="261"/>
      <c r="C7" s="261"/>
      <c r="D7" s="261"/>
      <c r="E7" s="261"/>
      <c r="F7" s="261"/>
      <c r="G7" s="262"/>
      <c r="H7" s="261"/>
      <c r="I7" s="261"/>
      <c r="J7" s="261"/>
      <c r="K7" s="261"/>
      <c r="L7" s="261"/>
      <c r="M7" s="261"/>
      <c r="N7" s="261"/>
      <c r="O7" s="261"/>
      <c r="P7" s="262"/>
      <c r="Q7" s="263"/>
      <c r="R7" s="261"/>
      <c r="S7" s="261"/>
      <c r="T7" s="261"/>
      <c r="U7" s="262"/>
      <c r="V7" s="261"/>
      <c r="W7" s="261"/>
      <c r="X7" s="262"/>
      <c r="Y7" s="262"/>
      <c r="Z7" s="261"/>
      <c r="AA7" s="261"/>
    </row>
    <row r="8" spans="1:27" ht="23.25" customHeight="1">
      <c r="A8" s="274" t="s">
        <v>615</v>
      </c>
      <c r="B8" s="269">
        <f>SUM(B9:B15)</f>
        <v>43460704.03</v>
      </c>
      <c r="C8" s="269">
        <f>SUM(C9:C12)</f>
        <v>119931703.15</v>
      </c>
      <c r="D8" s="269">
        <f>SUM(D9:D12)</f>
        <v>134805705.47</v>
      </c>
      <c r="E8" s="269">
        <f>SUM(E9:E15)</f>
        <v>298198112.65</v>
      </c>
      <c r="F8" s="269">
        <f>SUM(F9:F12)</f>
        <v>296009.47165</v>
      </c>
      <c r="G8" s="269"/>
      <c r="H8" s="269">
        <f>SUM(H9:H12)</f>
        <v>52816597.79</v>
      </c>
      <c r="I8" s="269">
        <f>SUM(I9:I12)</f>
        <v>52087.050789999994</v>
      </c>
      <c r="J8" s="269">
        <f aca="true" t="shared" si="1" ref="J8:O8">SUM(J9:J15)</f>
        <v>351014710.44</v>
      </c>
      <c r="K8" s="269">
        <f t="shared" si="1"/>
        <v>348096.52244000003</v>
      </c>
      <c r="L8" s="269">
        <f t="shared" si="1"/>
        <v>112392078.31</v>
      </c>
      <c r="M8" s="269">
        <f t="shared" si="1"/>
        <v>463406788.75</v>
      </c>
      <c r="N8" s="272">
        <f t="shared" si="1"/>
        <v>111679.90630999999</v>
      </c>
      <c r="O8" s="269">
        <f t="shared" si="1"/>
        <v>459776.42875</v>
      </c>
      <c r="P8" s="270">
        <f>SUM(P9:P15)</f>
        <v>73247937.42</v>
      </c>
      <c r="Q8" s="271">
        <f>SUM(Q9:Q15)</f>
        <v>536654726.17</v>
      </c>
      <c r="R8" s="270">
        <f>SUM(R9:R15)</f>
        <v>72535.76542</v>
      </c>
      <c r="S8" s="269">
        <f>SUM(S9:S13)</f>
        <v>532312.19417</v>
      </c>
      <c r="T8" s="270">
        <f>SUM(T9:T15)</f>
        <v>60920236.00000001</v>
      </c>
      <c r="U8" s="269">
        <f>SUM(U9:U15)</f>
        <v>597574962.17</v>
      </c>
      <c r="V8" s="272">
        <f>SUM(V9:V15)</f>
        <v>60225.49300000001</v>
      </c>
      <c r="W8" s="269">
        <f>SUM(W9:W15)</f>
        <v>592537.68717</v>
      </c>
      <c r="X8" s="269">
        <f>SUM(X9:X15)</f>
        <v>182788372.86</v>
      </c>
      <c r="Y8" s="269">
        <f>SUM(Y9:Y14)</f>
        <v>780363335.0299999</v>
      </c>
      <c r="Z8" s="272">
        <f>SUM(Z9:Z15)</f>
        <v>182058.82586</v>
      </c>
      <c r="AA8" s="269">
        <f>SUM(AA9:AA15)</f>
        <v>774596.5130299999</v>
      </c>
    </row>
    <row r="9" spans="1:27" ht="23.25" customHeight="1">
      <c r="A9" s="264" t="s">
        <v>616</v>
      </c>
      <c r="B9" s="262">
        <v>24463693.43</v>
      </c>
      <c r="C9" s="262">
        <v>101837510.63</v>
      </c>
      <c r="D9" s="262">
        <v>42854929.38</v>
      </c>
      <c r="E9" s="262">
        <f>B9+C9+D9</f>
        <v>169156133.44</v>
      </c>
      <c r="F9" s="262">
        <f>(E9-4886653+2698012)/1000</f>
        <v>166967.49244</v>
      </c>
      <c r="G9" s="262"/>
      <c r="H9" s="275">
        <f>32455622.88-36540-164.71</f>
        <v>32418918.169999998</v>
      </c>
      <c r="I9" s="275">
        <f>(H9-1623533+893986)/1000</f>
        <v>31689.37117</v>
      </c>
      <c r="J9" s="262">
        <f aca="true" t="shared" si="2" ref="J9:K12">E9+H9</f>
        <v>201575051.60999998</v>
      </c>
      <c r="K9" s="262">
        <f t="shared" si="2"/>
        <v>198656.86361</v>
      </c>
      <c r="L9" s="262">
        <v>106630088.02</v>
      </c>
      <c r="M9" s="262">
        <f aca="true" t="shared" si="3" ref="M9:M15">J9+L9</f>
        <v>308205139.63</v>
      </c>
      <c r="N9" s="261">
        <f>(L9-1604169+891997)/1000</f>
        <v>105917.91601999999</v>
      </c>
      <c r="O9" s="262">
        <f aca="true" t="shared" si="4" ref="O9:O15">K9+N9</f>
        <v>304574.77963</v>
      </c>
      <c r="P9" s="262">
        <f>53061584.57+12500</f>
        <v>53074084.57</v>
      </c>
      <c r="Q9" s="265">
        <f aca="true" t="shared" si="5" ref="Q9:Q15">M9+P9</f>
        <v>361279224.2</v>
      </c>
      <c r="R9" s="261">
        <f>(P9-1604028-12500+891856+12500)/1000</f>
        <v>52361.91257</v>
      </c>
      <c r="S9" s="262">
        <f>O9+R9</f>
        <v>356936.6922</v>
      </c>
      <c r="T9" s="261">
        <f>40260257.2+633782.31</f>
        <v>40894039.510000005</v>
      </c>
      <c r="U9" s="262">
        <f aca="true" t="shared" si="6" ref="U9:U15">Q9+T9</f>
        <v>402173263.71</v>
      </c>
      <c r="V9" s="261">
        <f>(T9-1603974)/1000+909.231</f>
        <v>40199.29651000001</v>
      </c>
      <c r="W9" s="262">
        <f aca="true" t="shared" si="7" ref="W9:W15">S9+V9</f>
        <v>397135.98871</v>
      </c>
      <c r="X9" s="262">
        <f>163640452.37-495346</f>
        <v>163145106.37</v>
      </c>
      <c r="Y9" s="262">
        <f aca="true" t="shared" si="8" ref="Y9:Y15">U9+X9</f>
        <v>565318370.0799999</v>
      </c>
      <c r="Z9" s="261">
        <f>(X9-1603974+874427)/1000</f>
        <v>162415.55937</v>
      </c>
      <c r="AA9" s="262">
        <f aca="true" t="shared" si="9" ref="AA9:AA15">W9+Z9</f>
        <v>559551.54808</v>
      </c>
    </row>
    <row r="10" spans="1:27" ht="32.25" customHeight="1">
      <c r="A10" s="264" t="s">
        <v>617</v>
      </c>
      <c r="B10" s="262">
        <v>235007</v>
      </c>
      <c r="C10" s="262">
        <v>355680.2</v>
      </c>
      <c r="D10" s="262">
        <v>55293461.4</v>
      </c>
      <c r="E10" s="51">
        <f>B10+C10+D10</f>
        <v>55884148.6</v>
      </c>
      <c r="F10" s="262">
        <f>E10/1000</f>
        <v>55884.1486</v>
      </c>
      <c r="G10" s="262"/>
      <c r="H10" s="262">
        <v>356509</v>
      </c>
      <c r="I10" s="261">
        <f>H10/1000</f>
        <v>356.509</v>
      </c>
      <c r="J10" s="262">
        <f t="shared" si="2"/>
        <v>56240657.6</v>
      </c>
      <c r="K10" s="262">
        <f t="shared" si="2"/>
        <v>56240.6576</v>
      </c>
      <c r="L10" s="261">
        <v>219286.2</v>
      </c>
      <c r="M10" s="262">
        <f t="shared" si="3"/>
        <v>56459943.800000004</v>
      </c>
      <c r="N10" s="261">
        <f aca="true" t="shared" si="10" ref="N10:N15">L10/1000</f>
        <v>219.2862</v>
      </c>
      <c r="O10" s="262">
        <f t="shared" si="4"/>
        <v>56459.9438</v>
      </c>
      <c r="P10" s="262">
        <v>219163</v>
      </c>
      <c r="Q10" s="265">
        <f t="shared" si="5"/>
        <v>56679106.800000004</v>
      </c>
      <c r="R10" s="261">
        <f aca="true" t="shared" si="11" ref="R10:R15">P10/1000</f>
        <v>219.163</v>
      </c>
      <c r="S10" s="262">
        <f>O10+R10</f>
        <v>56679.1068</v>
      </c>
      <c r="T10" s="262">
        <v>256802.2</v>
      </c>
      <c r="U10" s="262">
        <f t="shared" si="6"/>
        <v>56935909.00000001</v>
      </c>
      <c r="V10" s="261">
        <f aca="true" t="shared" si="12" ref="V10:V15">T10/1000</f>
        <v>256.8022</v>
      </c>
      <c r="W10" s="262">
        <f t="shared" si="7"/>
        <v>56935.909</v>
      </c>
      <c r="X10" s="262">
        <v>201359.8</v>
      </c>
      <c r="Y10" s="262">
        <f t="shared" si="8"/>
        <v>57137268.800000004</v>
      </c>
      <c r="Z10" s="261">
        <f aca="true" t="shared" si="13" ref="Z10:Z15">X10/1000</f>
        <v>201.35979999999998</v>
      </c>
      <c r="AA10" s="262">
        <f t="shared" si="9"/>
        <v>57137.2688</v>
      </c>
    </row>
    <row r="11" spans="1:27" ht="23.25" customHeight="1">
      <c r="A11" s="264" t="s">
        <v>175</v>
      </c>
      <c r="B11" s="276">
        <v>6338115.6</v>
      </c>
      <c r="C11" s="276">
        <v>6881030.32</v>
      </c>
      <c r="D11" s="276">
        <v>9324944.14</v>
      </c>
      <c r="E11" s="276">
        <f>B11+C11+D11</f>
        <v>22544090.060000002</v>
      </c>
      <c r="F11" s="276">
        <f>E11/1000</f>
        <v>22544.090060000002</v>
      </c>
      <c r="G11" s="276"/>
      <c r="H11" s="276">
        <v>7601530.62</v>
      </c>
      <c r="I11" s="276">
        <f>H11/1000</f>
        <v>7601.53062</v>
      </c>
      <c r="J11" s="276">
        <f t="shared" si="2"/>
        <v>30145620.680000003</v>
      </c>
      <c r="K11" s="276">
        <f t="shared" si="2"/>
        <v>30145.620680000004</v>
      </c>
      <c r="L11" s="261">
        <v>7140747.09</v>
      </c>
      <c r="M11" s="262">
        <f t="shared" si="3"/>
        <v>37286367.77</v>
      </c>
      <c r="N11" s="261">
        <f t="shared" si="10"/>
        <v>7140.74709</v>
      </c>
      <c r="O11" s="262">
        <f t="shared" si="4"/>
        <v>37286.367770000004</v>
      </c>
      <c r="P11" s="262">
        <v>6533855.85</v>
      </c>
      <c r="Q11" s="265">
        <f t="shared" si="5"/>
        <v>43820223.620000005</v>
      </c>
      <c r="R11" s="261">
        <f t="shared" si="11"/>
        <v>6533.85585</v>
      </c>
      <c r="S11" s="262">
        <f>O11+R11</f>
        <v>43820.223620000004</v>
      </c>
      <c r="T11" s="261">
        <v>7935602.29</v>
      </c>
      <c r="U11" s="262">
        <f t="shared" si="6"/>
        <v>51755825.910000004</v>
      </c>
      <c r="V11" s="261">
        <f t="shared" si="12"/>
        <v>7935.60229</v>
      </c>
      <c r="W11" s="262">
        <f t="shared" si="7"/>
        <v>51755.82591000001</v>
      </c>
      <c r="X11" s="262">
        <v>7603386.69</v>
      </c>
      <c r="Y11" s="262">
        <f t="shared" si="8"/>
        <v>59359212.6</v>
      </c>
      <c r="Z11" s="261">
        <f t="shared" si="13"/>
        <v>7603.38669</v>
      </c>
      <c r="AA11" s="262">
        <f t="shared" si="9"/>
        <v>59359.212600000006</v>
      </c>
    </row>
    <row r="12" spans="1:27" ht="30" customHeight="1">
      <c r="A12" s="264" t="s">
        <v>618</v>
      </c>
      <c r="B12" s="276">
        <v>12423888</v>
      </c>
      <c r="C12" s="276">
        <v>10857482</v>
      </c>
      <c r="D12" s="276">
        <v>27332370.55</v>
      </c>
      <c r="E12" s="276">
        <f>B12+C12+D12</f>
        <v>50613740.55</v>
      </c>
      <c r="F12" s="276">
        <f>E12/1000</f>
        <v>50613.740549999995</v>
      </c>
      <c r="G12" s="276"/>
      <c r="H12" s="276">
        <v>12439640</v>
      </c>
      <c r="I12" s="276">
        <f>H12/1000</f>
        <v>12439.64</v>
      </c>
      <c r="J12" s="276">
        <f t="shared" si="2"/>
        <v>63053380.55</v>
      </c>
      <c r="K12" s="276">
        <f t="shared" si="2"/>
        <v>63053.380549999994</v>
      </c>
      <c r="L12" s="261">
        <v>-1598043</v>
      </c>
      <c r="M12" s="262">
        <f t="shared" si="3"/>
        <v>61455337.55</v>
      </c>
      <c r="N12" s="261">
        <f t="shared" si="10"/>
        <v>-1598.043</v>
      </c>
      <c r="O12" s="262">
        <f t="shared" si="4"/>
        <v>61455.33755</v>
      </c>
      <c r="P12" s="262">
        <v>13420834</v>
      </c>
      <c r="Q12" s="265">
        <f t="shared" si="5"/>
        <v>74876171.55</v>
      </c>
      <c r="R12" s="261">
        <f t="shared" si="11"/>
        <v>13420.834</v>
      </c>
      <c r="S12" s="262">
        <f>O12+R12</f>
        <v>74876.17155</v>
      </c>
      <c r="T12" s="262">
        <v>11833792</v>
      </c>
      <c r="U12" s="262">
        <f t="shared" si="6"/>
        <v>86709963.55</v>
      </c>
      <c r="V12" s="261">
        <f t="shared" si="12"/>
        <v>11833.792</v>
      </c>
      <c r="W12" s="262">
        <f t="shared" si="7"/>
        <v>86709.96355</v>
      </c>
      <c r="X12" s="262">
        <v>11838520</v>
      </c>
      <c r="Y12" s="262">
        <f>U12+X12</f>
        <v>98548483.55</v>
      </c>
      <c r="Z12" s="261">
        <f t="shared" si="13"/>
        <v>11838.52</v>
      </c>
      <c r="AA12" s="262">
        <f t="shared" si="9"/>
        <v>98548.48355</v>
      </c>
    </row>
    <row r="13" spans="1:27" ht="23.25" customHeight="1">
      <c r="A13" s="277" t="s">
        <v>619</v>
      </c>
      <c r="B13" s="262"/>
      <c r="C13" s="262"/>
      <c r="D13" s="262"/>
      <c r="E13" s="262"/>
      <c r="F13" s="262"/>
      <c r="G13" s="262"/>
      <c r="H13" s="262"/>
      <c r="I13" s="261"/>
      <c r="J13" s="261"/>
      <c r="K13" s="261"/>
      <c r="L13" s="261"/>
      <c r="M13" s="262">
        <f t="shared" si="3"/>
        <v>0</v>
      </c>
      <c r="N13" s="261">
        <f t="shared" si="10"/>
        <v>0</v>
      </c>
      <c r="O13" s="262">
        <f t="shared" si="4"/>
        <v>0</v>
      </c>
      <c r="P13" s="262">
        <f>-149540.29+149540.29</f>
        <v>0</v>
      </c>
      <c r="Q13" s="265">
        <f t="shared" si="5"/>
        <v>0</v>
      </c>
      <c r="R13" s="261">
        <f t="shared" si="11"/>
        <v>0</v>
      </c>
      <c r="S13" s="262">
        <f>O13+R13</f>
        <v>0</v>
      </c>
      <c r="T13" s="261"/>
      <c r="U13" s="262">
        <f t="shared" si="6"/>
        <v>0</v>
      </c>
      <c r="V13" s="261">
        <f t="shared" si="12"/>
        <v>0</v>
      </c>
      <c r="W13" s="262">
        <f t="shared" si="7"/>
        <v>0</v>
      </c>
      <c r="X13" s="262"/>
      <c r="Y13" s="262">
        <f t="shared" si="8"/>
        <v>0</v>
      </c>
      <c r="Z13" s="261">
        <f t="shared" si="13"/>
        <v>0</v>
      </c>
      <c r="AA13" s="262">
        <f t="shared" si="9"/>
        <v>0</v>
      </c>
    </row>
    <row r="14" spans="1:27" ht="23.25" customHeight="1" thickBot="1">
      <c r="A14" s="277" t="s">
        <v>620</v>
      </c>
      <c r="B14" s="262"/>
      <c r="C14" s="262"/>
      <c r="D14" s="262"/>
      <c r="E14" s="262"/>
      <c r="F14" s="262"/>
      <c r="G14" s="262"/>
      <c r="H14" s="262"/>
      <c r="I14" s="261"/>
      <c r="J14" s="261"/>
      <c r="K14" s="261"/>
      <c r="L14" s="261"/>
      <c r="M14" s="262">
        <f t="shared" si="3"/>
        <v>0</v>
      </c>
      <c r="N14" s="261">
        <f t="shared" si="10"/>
        <v>0</v>
      </c>
      <c r="O14" s="262">
        <f t="shared" si="4"/>
        <v>0</v>
      </c>
      <c r="P14" s="261"/>
      <c r="Q14" s="265">
        <f t="shared" si="5"/>
        <v>0</v>
      </c>
      <c r="R14" s="261">
        <f t="shared" si="11"/>
        <v>0</v>
      </c>
      <c r="S14" s="261"/>
      <c r="T14" s="262"/>
      <c r="U14" s="262">
        <f t="shared" si="6"/>
        <v>0</v>
      </c>
      <c r="V14" s="261">
        <f t="shared" si="12"/>
        <v>0</v>
      </c>
      <c r="W14" s="262">
        <f t="shared" si="7"/>
        <v>0</v>
      </c>
      <c r="X14" s="262"/>
      <c r="Y14" s="262">
        <f t="shared" si="8"/>
        <v>0</v>
      </c>
      <c r="Z14" s="261">
        <f t="shared" si="13"/>
        <v>0</v>
      </c>
      <c r="AA14" s="262">
        <f t="shared" si="9"/>
        <v>0</v>
      </c>
    </row>
    <row r="15" spans="1:27" ht="23.25" customHeight="1" thickBot="1">
      <c r="A15" s="278" t="s">
        <v>621</v>
      </c>
      <c r="B15" s="262"/>
      <c r="C15" s="262"/>
      <c r="D15" s="262"/>
      <c r="E15" s="262"/>
      <c r="F15" s="262"/>
      <c r="G15" s="262"/>
      <c r="H15" s="262"/>
      <c r="I15" s="261"/>
      <c r="J15" s="261"/>
      <c r="K15" s="261"/>
      <c r="L15" s="261"/>
      <c r="M15" s="262">
        <f t="shared" si="3"/>
        <v>0</v>
      </c>
      <c r="N15" s="261">
        <f t="shared" si="10"/>
        <v>0</v>
      </c>
      <c r="O15" s="262">
        <f t="shared" si="4"/>
        <v>0</v>
      </c>
      <c r="P15" s="261"/>
      <c r="Q15" s="265">
        <f t="shared" si="5"/>
        <v>0</v>
      </c>
      <c r="R15" s="261">
        <f t="shared" si="11"/>
        <v>0</v>
      </c>
      <c r="S15" s="261"/>
      <c r="T15" s="261"/>
      <c r="U15" s="262">
        <f t="shared" si="6"/>
        <v>0</v>
      </c>
      <c r="V15" s="261">
        <f t="shared" si="12"/>
        <v>0</v>
      </c>
      <c r="W15" s="262">
        <f t="shared" si="7"/>
        <v>0</v>
      </c>
      <c r="X15" s="262"/>
      <c r="Y15" s="262">
        <f t="shared" si="8"/>
        <v>0</v>
      </c>
      <c r="Z15" s="261">
        <f t="shared" si="13"/>
        <v>0</v>
      </c>
      <c r="AA15" s="262">
        <f t="shared" si="9"/>
        <v>0</v>
      </c>
    </row>
    <row r="16" spans="1:27" ht="35.25" customHeight="1" thickBot="1">
      <c r="A16" s="279" t="s">
        <v>622</v>
      </c>
      <c r="B16" s="269">
        <f>B6-B8</f>
        <v>224448259.33</v>
      </c>
      <c r="C16" s="269">
        <f>C6-C8</f>
        <v>122141798.07999995</v>
      </c>
      <c r="D16" s="269">
        <f>D6-D8</f>
        <v>119150322.90000007</v>
      </c>
      <c r="E16" s="269">
        <f>E6-E8</f>
        <v>465740380.3100003</v>
      </c>
      <c r="F16" s="269">
        <f>F6-F8</f>
        <v>633906.0503100003</v>
      </c>
      <c r="G16" s="269"/>
      <c r="H16" s="269">
        <f aca="true" t="shared" si="14" ref="H16:W16">H6-H8</f>
        <v>154676848.07000002</v>
      </c>
      <c r="I16" s="269">
        <f t="shared" si="14"/>
        <v>210789.68906999996</v>
      </c>
      <c r="J16" s="269">
        <f t="shared" si="14"/>
        <v>620417228.3800004</v>
      </c>
      <c r="K16" s="269">
        <f t="shared" si="14"/>
        <v>844695.7393800002</v>
      </c>
      <c r="L16" s="269">
        <f t="shared" si="14"/>
        <v>11657325.889999926</v>
      </c>
      <c r="M16" s="269">
        <f t="shared" si="14"/>
        <v>632074554.2700005</v>
      </c>
      <c r="N16" s="269">
        <f t="shared" si="14"/>
        <v>68046.1218899999</v>
      </c>
      <c r="O16" s="269">
        <f t="shared" si="14"/>
        <v>912741.8612700002</v>
      </c>
      <c r="P16" s="269">
        <f t="shared" si="14"/>
        <v>52062984.19999994</v>
      </c>
      <c r="Q16" s="271">
        <f t="shared" si="14"/>
        <v>684137538.4700007</v>
      </c>
      <c r="R16" s="269">
        <f t="shared" si="14"/>
        <v>109074.2692</v>
      </c>
      <c r="S16" s="269">
        <f t="shared" si="14"/>
        <v>1021816.1304700002</v>
      </c>
      <c r="T16" s="269">
        <f t="shared" si="14"/>
        <v>106881626.00000006</v>
      </c>
      <c r="U16" s="270">
        <f t="shared" si="14"/>
        <v>791019164.4700009</v>
      </c>
      <c r="V16" s="272">
        <f t="shared" si="14"/>
        <v>163142.40000000002</v>
      </c>
      <c r="W16" s="269">
        <f t="shared" si="14"/>
        <v>1184958.5304700003</v>
      </c>
      <c r="X16" s="269">
        <f>X6-X8</f>
        <v>-20601969.370000005</v>
      </c>
      <c r="Y16" s="269">
        <f>Y6-Y8</f>
        <v>770417195.1000012</v>
      </c>
      <c r="Z16" s="272">
        <f>Z6-Z8</f>
        <v>35660.519630000024</v>
      </c>
      <c r="AA16" s="269">
        <f>AA6-AA8</f>
        <v>1220619.0501000006</v>
      </c>
    </row>
    <row r="17" spans="1:27" ht="15.75" thickBot="1">
      <c r="A17" s="280"/>
      <c r="B17" s="261"/>
      <c r="C17" s="261"/>
      <c r="D17" s="261"/>
      <c r="E17" s="261"/>
      <c r="F17" s="261"/>
      <c r="G17" s="262"/>
      <c r="H17" s="261"/>
      <c r="I17" s="261"/>
      <c r="J17" s="261"/>
      <c r="K17" s="261"/>
      <c r="L17" s="261"/>
      <c r="M17" s="261"/>
      <c r="N17" s="261"/>
      <c r="O17" s="261"/>
      <c r="P17" s="261"/>
      <c r="Q17" s="263"/>
      <c r="R17" s="261"/>
      <c r="S17" s="261"/>
      <c r="T17" s="261"/>
      <c r="U17" s="261"/>
      <c r="V17" s="261"/>
      <c r="W17" s="261"/>
      <c r="X17" s="262"/>
      <c r="Y17" s="261"/>
      <c r="Z17" s="261"/>
      <c r="AA17" s="262"/>
    </row>
    <row r="18" spans="1:27" ht="16.5" thickBot="1">
      <c r="A18" s="281" t="s">
        <v>623</v>
      </c>
      <c r="B18" s="261"/>
      <c r="C18" s="261"/>
      <c r="D18" s="261"/>
      <c r="E18" s="261"/>
      <c r="F18" s="261"/>
      <c r="G18" s="262"/>
      <c r="H18" s="261"/>
      <c r="I18" s="261"/>
      <c r="J18" s="261"/>
      <c r="K18" s="261"/>
      <c r="L18" s="261"/>
      <c r="M18" s="261"/>
      <c r="N18" s="261"/>
      <c r="O18" s="261"/>
      <c r="P18" s="261"/>
      <c r="Q18" s="263"/>
      <c r="R18" s="261"/>
      <c r="S18" s="261"/>
      <c r="T18" s="261"/>
      <c r="U18" s="261"/>
      <c r="V18" s="261"/>
      <c r="W18" s="261"/>
      <c r="X18" s="262"/>
      <c r="Y18" s="261"/>
      <c r="Z18" s="261"/>
      <c r="AA18" s="261"/>
    </row>
    <row r="19" spans="1:27" ht="15">
      <c r="A19" s="282" t="s">
        <v>624</v>
      </c>
      <c r="B19" s="262">
        <f>2151644.43-5103.57</f>
        <v>2146540.8600000003</v>
      </c>
      <c r="C19" s="262">
        <v>2638431.03</v>
      </c>
      <c r="D19" s="262">
        <v>2937128.42</v>
      </c>
      <c r="E19" s="262">
        <f aca="true" t="shared" si="15" ref="E19:E28">B19+C19+D19</f>
        <v>7722100.3100000005</v>
      </c>
      <c r="F19" s="262">
        <f>E19/1000</f>
        <v>7722.100310000001</v>
      </c>
      <c r="G19" s="262"/>
      <c r="H19" s="262">
        <v>3441990.76</v>
      </c>
      <c r="I19" s="261">
        <f>H19/1000</f>
        <v>3441.9907599999997</v>
      </c>
      <c r="J19" s="262">
        <f aca="true" t="shared" si="16" ref="J19:K28">E19+H19</f>
        <v>11164091.07</v>
      </c>
      <c r="K19" s="262">
        <f>F19+I19</f>
        <v>11164.09107</v>
      </c>
      <c r="L19" s="261">
        <v>3364377.58</v>
      </c>
      <c r="M19" s="262">
        <f>J19+L19</f>
        <v>14528468.65</v>
      </c>
      <c r="N19" s="261">
        <f>L19/1000</f>
        <v>3364.37758</v>
      </c>
      <c r="O19" s="262">
        <f aca="true" t="shared" si="17" ref="O19:O29">K19+N19</f>
        <v>14528.46865</v>
      </c>
      <c r="P19" s="262">
        <f>3514680.9</f>
        <v>3514680.9</v>
      </c>
      <c r="Q19" s="265">
        <f aca="true" t="shared" si="18" ref="Q19:Q29">M19+P19</f>
        <v>18043149.55</v>
      </c>
      <c r="R19" s="261">
        <f>P19/1000</f>
        <v>3514.6809</v>
      </c>
      <c r="S19" s="261">
        <f>Q19/1000</f>
        <v>18043.149550000002</v>
      </c>
      <c r="T19" s="261">
        <v>4648145.94</v>
      </c>
      <c r="U19" s="262">
        <f aca="true" t="shared" si="19" ref="U19:U29">Q19+T19</f>
        <v>22691295.490000002</v>
      </c>
      <c r="V19" s="261">
        <f>T19/1000</f>
        <v>4648.14594</v>
      </c>
      <c r="W19" s="262">
        <f aca="true" t="shared" si="20" ref="W19:W29">S19+V19</f>
        <v>22691.295490000004</v>
      </c>
      <c r="X19" s="262">
        <v>3050038.75</v>
      </c>
      <c r="Y19" s="262">
        <f aca="true" t="shared" si="21" ref="Y19:Y29">U19+X19</f>
        <v>25741334.240000002</v>
      </c>
      <c r="Z19" s="261">
        <f>X19/1000</f>
        <v>3050.03875</v>
      </c>
      <c r="AA19" s="262">
        <f>W19+Z19</f>
        <v>25741.334240000004</v>
      </c>
    </row>
    <row r="20" spans="1:27" ht="15">
      <c r="A20" s="264" t="s">
        <v>625</v>
      </c>
      <c r="B20" s="262">
        <v>5103.57</v>
      </c>
      <c r="C20" s="262">
        <v>5103.57</v>
      </c>
      <c r="D20" s="262">
        <v>20414.28</v>
      </c>
      <c r="E20" s="262">
        <f t="shared" si="15"/>
        <v>30621.42</v>
      </c>
      <c r="F20" s="262">
        <f aca="true" t="shared" si="22" ref="F20:F28">E20/1000</f>
        <v>30.621419999999997</v>
      </c>
      <c r="G20" s="262"/>
      <c r="H20" s="262">
        <v>25517.85</v>
      </c>
      <c r="I20" s="261">
        <f aca="true" t="shared" si="23" ref="I20:I28">H20/1000</f>
        <v>25.51785</v>
      </c>
      <c r="J20" s="262">
        <f t="shared" si="16"/>
        <v>56139.27</v>
      </c>
      <c r="K20" s="262">
        <f t="shared" si="16"/>
        <v>56.139269999999996</v>
      </c>
      <c r="L20" s="261"/>
      <c r="M20" s="262">
        <f aca="true" t="shared" si="24" ref="M20:M29">J20+L20</f>
        <v>56139.27</v>
      </c>
      <c r="N20" s="261">
        <f aca="true" t="shared" si="25" ref="N20:N29">L20/1000</f>
        <v>0</v>
      </c>
      <c r="O20" s="262">
        <f t="shared" si="17"/>
        <v>56.139269999999996</v>
      </c>
      <c r="P20" s="262">
        <v>5103.57</v>
      </c>
      <c r="Q20" s="265">
        <f t="shared" si="18"/>
        <v>61242.84</v>
      </c>
      <c r="R20" s="261">
        <f aca="true" t="shared" si="26" ref="R20:S29">P20/1000</f>
        <v>5.1035699999999995</v>
      </c>
      <c r="S20" s="261">
        <f t="shared" si="26"/>
        <v>61.242839999999994</v>
      </c>
      <c r="T20" s="261"/>
      <c r="U20" s="262">
        <f t="shared" si="19"/>
        <v>61242.84</v>
      </c>
      <c r="V20" s="261">
        <f aca="true" t="shared" si="27" ref="V20:V29">T20/1000</f>
        <v>0</v>
      </c>
      <c r="W20" s="262">
        <f t="shared" si="20"/>
        <v>61.242839999999994</v>
      </c>
      <c r="X20" s="262">
        <v>5103.57</v>
      </c>
      <c r="Y20" s="262">
        <f t="shared" si="21"/>
        <v>66346.41</v>
      </c>
      <c r="Z20" s="261">
        <f aca="true" t="shared" si="28" ref="Z20:Z29">X20/1000</f>
        <v>5.1035699999999995</v>
      </c>
      <c r="AA20" s="262">
        <f aca="true" t="shared" si="29" ref="AA20:AA29">W20+Z20</f>
        <v>66.34640999999999</v>
      </c>
    </row>
    <row r="21" spans="1:27" ht="30">
      <c r="A21" s="264" t="s">
        <v>626</v>
      </c>
      <c r="B21" s="262">
        <v>392710.02</v>
      </c>
      <c r="C21" s="262">
        <v>899582.81</v>
      </c>
      <c r="D21" s="262">
        <v>849824.66</v>
      </c>
      <c r="E21" s="262">
        <f t="shared" si="15"/>
        <v>2142117.49</v>
      </c>
      <c r="F21" s="262">
        <f t="shared" si="22"/>
        <v>2142.11749</v>
      </c>
      <c r="G21" s="262"/>
      <c r="H21" s="262">
        <v>688781.45</v>
      </c>
      <c r="I21" s="261">
        <f t="shared" si="23"/>
        <v>688.78145</v>
      </c>
      <c r="J21" s="262">
        <f t="shared" si="16"/>
        <v>2830898.9400000004</v>
      </c>
      <c r="K21" s="262">
        <f t="shared" si="16"/>
        <v>2830.89894</v>
      </c>
      <c r="L21" s="261">
        <v>596168.25</v>
      </c>
      <c r="M21" s="262">
        <f t="shared" si="24"/>
        <v>3427067.1900000004</v>
      </c>
      <c r="N21" s="261">
        <f t="shared" si="25"/>
        <v>596.16825</v>
      </c>
      <c r="O21" s="262">
        <f t="shared" si="17"/>
        <v>3427.0671899999998</v>
      </c>
      <c r="P21" s="262">
        <f>311231769-310000000-644583.34</f>
        <v>587185.66</v>
      </c>
      <c r="Q21" s="265">
        <f t="shared" si="18"/>
        <v>4014252.8500000006</v>
      </c>
      <c r="R21" s="261">
        <f t="shared" si="26"/>
        <v>587.18566</v>
      </c>
      <c r="S21" s="261">
        <f t="shared" si="26"/>
        <v>4014.2528500000008</v>
      </c>
      <c r="T21" s="261">
        <v>724502.27</v>
      </c>
      <c r="U21" s="262">
        <f t="shared" si="19"/>
        <v>4738755.120000001</v>
      </c>
      <c r="V21" s="261">
        <f t="shared" si="27"/>
        <v>724.5022700000001</v>
      </c>
      <c r="W21" s="262">
        <f t="shared" si="20"/>
        <v>4738.755120000001</v>
      </c>
      <c r="X21" s="262">
        <v>1067453.98</v>
      </c>
      <c r="Y21" s="262">
        <f t="shared" si="21"/>
        <v>5806209.1000000015</v>
      </c>
      <c r="Z21" s="261">
        <f t="shared" si="28"/>
        <v>1067.45398</v>
      </c>
      <c r="AA21" s="262">
        <f t="shared" si="29"/>
        <v>5806.209100000001</v>
      </c>
    </row>
    <row r="22" spans="1:27" ht="15">
      <c r="A22" s="264" t="s">
        <v>627</v>
      </c>
      <c r="B22" s="262"/>
      <c r="C22" s="262"/>
      <c r="D22" s="262"/>
      <c r="E22" s="262">
        <f t="shared" si="15"/>
        <v>0</v>
      </c>
      <c r="F22" s="262">
        <f t="shared" si="22"/>
        <v>0</v>
      </c>
      <c r="G22" s="262"/>
      <c r="H22" s="262"/>
      <c r="I22" s="261">
        <f t="shared" si="23"/>
        <v>0</v>
      </c>
      <c r="J22" s="262">
        <f t="shared" si="16"/>
        <v>0</v>
      </c>
      <c r="K22" s="262">
        <f t="shared" si="16"/>
        <v>0</v>
      </c>
      <c r="L22" s="261"/>
      <c r="M22" s="262">
        <f t="shared" si="24"/>
        <v>0</v>
      </c>
      <c r="N22" s="261">
        <f t="shared" si="25"/>
        <v>0</v>
      </c>
      <c r="O22" s="262">
        <f t="shared" si="17"/>
        <v>0</v>
      </c>
      <c r="P22" s="262">
        <v>598968.01</v>
      </c>
      <c r="Q22" s="265">
        <f t="shared" si="18"/>
        <v>598968.01</v>
      </c>
      <c r="R22" s="261">
        <f t="shared" si="26"/>
        <v>598.96801</v>
      </c>
      <c r="S22" s="261">
        <f t="shared" si="26"/>
        <v>598.96801</v>
      </c>
      <c r="T22" s="261"/>
      <c r="U22" s="262">
        <f t="shared" si="19"/>
        <v>598968.01</v>
      </c>
      <c r="V22" s="261">
        <f t="shared" si="27"/>
        <v>0</v>
      </c>
      <c r="W22" s="262">
        <f t="shared" si="20"/>
        <v>598.96801</v>
      </c>
      <c r="X22" s="262"/>
      <c r="Y22" s="262">
        <f t="shared" si="21"/>
        <v>598968.01</v>
      </c>
      <c r="Z22" s="261">
        <f t="shared" si="28"/>
        <v>0</v>
      </c>
      <c r="AA22" s="262">
        <f t="shared" si="29"/>
        <v>598.96801</v>
      </c>
    </row>
    <row r="23" spans="1:27" ht="30">
      <c r="A23" s="264" t="s">
        <v>628</v>
      </c>
      <c r="B23" s="262"/>
      <c r="C23" s="262"/>
      <c r="D23" s="262"/>
      <c r="E23" s="262">
        <f t="shared" si="15"/>
        <v>0</v>
      </c>
      <c r="F23" s="262">
        <f t="shared" si="22"/>
        <v>0</v>
      </c>
      <c r="G23" s="262"/>
      <c r="H23" s="262"/>
      <c r="I23" s="261">
        <f t="shared" si="23"/>
        <v>0</v>
      </c>
      <c r="J23" s="262">
        <f t="shared" si="16"/>
        <v>0</v>
      </c>
      <c r="K23" s="262">
        <f t="shared" si="16"/>
        <v>0</v>
      </c>
      <c r="L23" s="261"/>
      <c r="M23" s="262">
        <f t="shared" si="24"/>
        <v>0</v>
      </c>
      <c r="N23" s="261">
        <f t="shared" si="25"/>
        <v>0</v>
      </c>
      <c r="O23" s="262">
        <f t="shared" si="17"/>
        <v>0</v>
      </c>
      <c r="P23" s="262"/>
      <c r="Q23" s="265">
        <f t="shared" si="18"/>
        <v>0</v>
      </c>
      <c r="R23" s="261">
        <f t="shared" si="26"/>
        <v>0</v>
      </c>
      <c r="S23" s="261">
        <f t="shared" si="26"/>
        <v>0</v>
      </c>
      <c r="T23" s="261"/>
      <c r="U23" s="262">
        <f t="shared" si="19"/>
        <v>0</v>
      </c>
      <c r="V23" s="261">
        <f t="shared" si="27"/>
        <v>0</v>
      </c>
      <c r="W23" s="262">
        <f t="shared" si="20"/>
        <v>0</v>
      </c>
      <c r="X23" s="262"/>
      <c r="Y23" s="262">
        <f t="shared" si="21"/>
        <v>0</v>
      </c>
      <c r="Z23" s="261">
        <f t="shared" si="28"/>
        <v>0</v>
      </c>
      <c r="AA23" s="262">
        <f t="shared" si="29"/>
        <v>0</v>
      </c>
    </row>
    <row r="24" spans="1:27" ht="30">
      <c r="A24" s="264" t="s">
        <v>629</v>
      </c>
      <c r="B24" s="262"/>
      <c r="C24" s="262"/>
      <c r="D24" s="262">
        <v>16782120</v>
      </c>
      <c r="E24" s="262">
        <f t="shared" si="15"/>
        <v>16782120</v>
      </c>
      <c r="F24" s="262">
        <f t="shared" si="22"/>
        <v>16782.12</v>
      </c>
      <c r="G24" s="262"/>
      <c r="H24" s="262"/>
      <c r="I24" s="261">
        <f t="shared" si="23"/>
        <v>0</v>
      </c>
      <c r="J24" s="262">
        <f t="shared" si="16"/>
        <v>16782120</v>
      </c>
      <c r="K24" s="262">
        <f t="shared" si="16"/>
        <v>16782.12</v>
      </c>
      <c r="L24" s="261"/>
      <c r="M24" s="262">
        <f t="shared" si="24"/>
        <v>16782120</v>
      </c>
      <c r="N24" s="261">
        <f t="shared" si="25"/>
        <v>0</v>
      </c>
      <c r="O24" s="262">
        <f t="shared" si="17"/>
        <v>16782.12</v>
      </c>
      <c r="P24" s="262">
        <v>16782120</v>
      </c>
      <c r="Q24" s="265">
        <f t="shared" si="18"/>
        <v>33564240</v>
      </c>
      <c r="R24" s="261">
        <f t="shared" si="26"/>
        <v>16782.12</v>
      </c>
      <c r="S24" s="261">
        <f t="shared" si="26"/>
        <v>33564.24</v>
      </c>
      <c r="T24" s="261"/>
      <c r="U24" s="262">
        <f t="shared" si="19"/>
        <v>33564240</v>
      </c>
      <c r="V24" s="261">
        <f t="shared" si="27"/>
        <v>0</v>
      </c>
      <c r="W24" s="262">
        <f t="shared" si="20"/>
        <v>33564.24</v>
      </c>
      <c r="X24" s="262"/>
      <c r="Y24" s="262">
        <f t="shared" si="21"/>
        <v>33564240</v>
      </c>
      <c r="Z24" s="261">
        <f t="shared" si="28"/>
        <v>0</v>
      </c>
      <c r="AA24" s="262">
        <f t="shared" si="29"/>
        <v>33564.24</v>
      </c>
    </row>
    <row r="25" spans="1:27" ht="30">
      <c r="A25" s="264" t="s">
        <v>630</v>
      </c>
      <c r="B25" s="262"/>
      <c r="C25" s="262"/>
      <c r="D25" s="262"/>
      <c r="E25" s="262">
        <f t="shared" si="15"/>
        <v>0</v>
      </c>
      <c r="F25" s="262">
        <f t="shared" si="22"/>
        <v>0</v>
      </c>
      <c r="G25" s="262"/>
      <c r="H25" s="262"/>
      <c r="I25" s="261">
        <f t="shared" si="23"/>
        <v>0</v>
      </c>
      <c r="J25" s="262">
        <f t="shared" si="16"/>
        <v>0</v>
      </c>
      <c r="K25" s="262">
        <f t="shared" si="16"/>
        <v>0</v>
      </c>
      <c r="L25" s="261"/>
      <c r="M25" s="262">
        <f t="shared" si="24"/>
        <v>0</v>
      </c>
      <c r="N25" s="261">
        <f t="shared" si="25"/>
        <v>0</v>
      </c>
      <c r="O25" s="262">
        <f t="shared" si="17"/>
        <v>0</v>
      </c>
      <c r="P25" s="262"/>
      <c r="Q25" s="265">
        <f t="shared" si="18"/>
        <v>0</v>
      </c>
      <c r="R25" s="261">
        <f t="shared" si="26"/>
        <v>0</v>
      </c>
      <c r="S25" s="261">
        <f t="shared" si="26"/>
        <v>0</v>
      </c>
      <c r="T25" s="261"/>
      <c r="U25" s="262">
        <f t="shared" si="19"/>
        <v>0</v>
      </c>
      <c r="V25" s="261">
        <f t="shared" si="27"/>
        <v>0</v>
      </c>
      <c r="W25" s="262">
        <f t="shared" si="20"/>
        <v>0</v>
      </c>
      <c r="X25" s="262"/>
      <c r="Y25" s="262">
        <f t="shared" si="21"/>
        <v>0</v>
      </c>
      <c r="Z25" s="261">
        <f t="shared" si="28"/>
        <v>0</v>
      </c>
      <c r="AA25" s="262">
        <f t="shared" si="29"/>
        <v>0</v>
      </c>
    </row>
    <row r="26" spans="1:27" ht="45">
      <c r="A26" s="264" t="s">
        <v>656</v>
      </c>
      <c r="B26" s="262"/>
      <c r="C26" s="262"/>
      <c r="D26" s="262"/>
      <c r="E26" s="262">
        <f t="shared" si="15"/>
        <v>0</v>
      </c>
      <c r="F26" s="262">
        <f t="shared" si="22"/>
        <v>0</v>
      </c>
      <c r="G26" s="262"/>
      <c r="H26" s="262"/>
      <c r="I26" s="261">
        <f t="shared" si="23"/>
        <v>0</v>
      </c>
      <c r="J26" s="262">
        <f t="shared" si="16"/>
        <v>0</v>
      </c>
      <c r="K26" s="262">
        <f t="shared" si="16"/>
        <v>0</v>
      </c>
      <c r="L26" s="261"/>
      <c r="M26" s="262">
        <f t="shared" si="24"/>
        <v>0</v>
      </c>
      <c r="N26" s="261">
        <f t="shared" si="25"/>
        <v>0</v>
      </c>
      <c r="O26" s="262">
        <f t="shared" si="17"/>
        <v>0</v>
      </c>
      <c r="P26" s="262">
        <v>149540.29</v>
      </c>
      <c r="Q26" s="265">
        <f t="shared" si="18"/>
        <v>149540.29</v>
      </c>
      <c r="R26" s="261">
        <f t="shared" si="26"/>
        <v>149.54029</v>
      </c>
      <c r="S26" s="261">
        <f t="shared" si="26"/>
        <v>149.54029</v>
      </c>
      <c r="T26" s="261"/>
      <c r="U26" s="262">
        <f t="shared" si="19"/>
        <v>149540.29</v>
      </c>
      <c r="V26" s="261">
        <f t="shared" si="27"/>
        <v>0</v>
      </c>
      <c r="W26" s="262">
        <f t="shared" si="20"/>
        <v>149.54029</v>
      </c>
      <c r="X26" s="262"/>
      <c r="Y26" s="262">
        <f t="shared" si="21"/>
        <v>149540.29</v>
      </c>
      <c r="Z26" s="261">
        <f t="shared" si="28"/>
        <v>0</v>
      </c>
      <c r="AA26" s="262">
        <f t="shared" si="29"/>
        <v>149.54029</v>
      </c>
    </row>
    <row r="27" spans="1:27" ht="15">
      <c r="A27" s="277" t="s">
        <v>631</v>
      </c>
      <c r="B27" s="262"/>
      <c r="C27" s="262">
        <v>18784034.8</v>
      </c>
      <c r="D27" s="262">
        <v>3930253.9</v>
      </c>
      <c r="E27" s="262">
        <f t="shared" si="15"/>
        <v>22714288.7</v>
      </c>
      <c r="F27" s="262">
        <f t="shared" si="22"/>
        <v>22714.2887</v>
      </c>
      <c r="G27" s="262"/>
      <c r="H27" s="262"/>
      <c r="I27" s="261">
        <f t="shared" si="23"/>
        <v>0</v>
      </c>
      <c r="J27" s="262">
        <f t="shared" si="16"/>
        <v>22714288.7</v>
      </c>
      <c r="K27" s="262">
        <f t="shared" si="16"/>
        <v>22714.2887</v>
      </c>
      <c r="L27" s="261"/>
      <c r="M27" s="262">
        <f t="shared" si="24"/>
        <v>22714288.7</v>
      </c>
      <c r="N27" s="261">
        <f t="shared" si="25"/>
        <v>0</v>
      </c>
      <c r="O27" s="262">
        <f t="shared" si="17"/>
        <v>22714.2887</v>
      </c>
      <c r="P27" s="262"/>
      <c r="Q27" s="265">
        <f t="shared" si="18"/>
        <v>22714288.7</v>
      </c>
      <c r="R27" s="261">
        <f t="shared" si="26"/>
        <v>0</v>
      </c>
      <c r="S27" s="261">
        <f t="shared" si="26"/>
        <v>22714.2887</v>
      </c>
      <c r="T27" s="262"/>
      <c r="U27" s="262">
        <f t="shared" si="19"/>
        <v>22714288.7</v>
      </c>
      <c r="V27" s="261">
        <f t="shared" si="27"/>
        <v>0</v>
      </c>
      <c r="W27" s="262">
        <f t="shared" si="20"/>
        <v>22714.2887</v>
      </c>
      <c r="X27" s="262">
        <v>1140295.18</v>
      </c>
      <c r="Y27" s="262">
        <f t="shared" si="21"/>
        <v>23854583.88</v>
      </c>
      <c r="Z27" s="261">
        <f t="shared" si="28"/>
        <v>1140.2951799999998</v>
      </c>
      <c r="AA27" s="262">
        <f t="shared" si="29"/>
        <v>23854.583880000002</v>
      </c>
    </row>
    <row r="28" spans="1:27" ht="15">
      <c r="A28" s="283" t="s">
        <v>632</v>
      </c>
      <c r="B28" s="262"/>
      <c r="C28" s="262"/>
      <c r="D28" s="262"/>
      <c r="E28" s="262">
        <f t="shared" si="15"/>
        <v>0</v>
      </c>
      <c r="F28" s="262">
        <f t="shared" si="22"/>
        <v>0</v>
      </c>
      <c r="G28" s="262"/>
      <c r="H28" s="262">
        <v>124152</v>
      </c>
      <c r="I28" s="261">
        <f t="shared" si="23"/>
        <v>124.152</v>
      </c>
      <c r="J28" s="262">
        <f t="shared" si="16"/>
        <v>124152</v>
      </c>
      <c r="K28" s="262">
        <f t="shared" si="16"/>
        <v>124.152</v>
      </c>
      <c r="L28" s="261"/>
      <c r="M28" s="262">
        <f t="shared" si="24"/>
        <v>124152</v>
      </c>
      <c r="N28" s="261">
        <f t="shared" si="25"/>
        <v>0</v>
      </c>
      <c r="O28" s="262">
        <f t="shared" si="17"/>
        <v>124.152</v>
      </c>
      <c r="P28" s="262"/>
      <c r="Q28" s="265">
        <f t="shared" si="18"/>
        <v>124152</v>
      </c>
      <c r="R28" s="261">
        <f t="shared" si="26"/>
        <v>0</v>
      </c>
      <c r="S28" s="261">
        <f t="shared" si="26"/>
        <v>124.152</v>
      </c>
      <c r="T28" s="262"/>
      <c r="U28" s="262">
        <f t="shared" si="19"/>
        <v>124152</v>
      </c>
      <c r="V28" s="261">
        <f t="shared" si="27"/>
        <v>0</v>
      </c>
      <c r="W28" s="262">
        <f t="shared" si="20"/>
        <v>124.152</v>
      </c>
      <c r="X28" s="262"/>
      <c r="Y28" s="262">
        <f t="shared" si="21"/>
        <v>124152</v>
      </c>
      <c r="Z28" s="261">
        <f t="shared" si="28"/>
        <v>0</v>
      </c>
      <c r="AA28" s="262">
        <f t="shared" si="29"/>
        <v>124.152</v>
      </c>
    </row>
    <row r="29" spans="1:27" ht="15">
      <c r="A29" s="284" t="s">
        <v>633</v>
      </c>
      <c r="B29" s="262"/>
      <c r="C29" s="262"/>
      <c r="D29" s="262"/>
      <c r="E29" s="262"/>
      <c r="F29" s="262"/>
      <c r="G29" s="262"/>
      <c r="H29" s="262"/>
      <c r="I29" s="261"/>
      <c r="J29" s="262"/>
      <c r="K29" s="262"/>
      <c r="L29" s="261">
        <v>230208.33</v>
      </c>
      <c r="M29" s="262">
        <f t="shared" si="24"/>
        <v>230208.33</v>
      </c>
      <c r="N29" s="261">
        <f t="shared" si="25"/>
        <v>230.20833</v>
      </c>
      <c r="O29" s="262">
        <f t="shared" si="17"/>
        <v>230.20833</v>
      </c>
      <c r="P29" s="262">
        <v>644583.34</v>
      </c>
      <c r="Q29" s="265">
        <f t="shared" si="18"/>
        <v>874791.6699999999</v>
      </c>
      <c r="R29" s="261">
        <f t="shared" si="26"/>
        <v>644.58334</v>
      </c>
      <c r="S29" s="261">
        <f t="shared" si="26"/>
        <v>874.79167</v>
      </c>
      <c r="T29" s="261"/>
      <c r="U29" s="262">
        <f t="shared" si="19"/>
        <v>874791.6699999999</v>
      </c>
      <c r="V29" s="261">
        <f t="shared" si="27"/>
        <v>0</v>
      </c>
      <c r="W29" s="262">
        <f t="shared" si="20"/>
        <v>874.79167</v>
      </c>
      <c r="X29" s="262">
        <v>2054654.15</v>
      </c>
      <c r="Y29" s="262">
        <f t="shared" si="21"/>
        <v>2929445.82</v>
      </c>
      <c r="Z29" s="261">
        <f t="shared" si="28"/>
        <v>2054.65415</v>
      </c>
      <c r="AA29" s="262">
        <f t="shared" si="29"/>
        <v>2929.44582</v>
      </c>
    </row>
    <row r="30" spans="1:27" ht="16.5" thickBot="1">
      <c r="A30" s="285" t="s">
        <v>634</v>
      </c>
      <c r="B30" s="269">
        <f>SUM(B19:B28)</f>
        <v>2544354.45</v>
      </c>
      <c r="C30" s="269">
        <f>SUM(C19:C28)</f>
        <v>22327152.21</v>
      </c>
      <c r="D30" s="269">
        <f>SUM(D19:D28)</f>
        <v>24519741.259999998</v>
      </c>
      <c r="E30" s="269">
        <f>SUM(E19:E28)</f>
        <v>49391247.92</v>
      </c>
      <c r="F30" s="269">
        <f>SUM(F19:F28)</f>
        <v>49391.24792</v>
      </c>
      <c r="G30" s="269"/>
      <c r="H30" s="269">
        <f>SUM(H19:H28)</f>
        <v>4280442.06</v>
      </c>
      <c r="I30" s="272">
        <f>SUM(I19:I28)</f>
        <v>4280.442059999999</v>
      </c>
      <c r="J30" s="269">
        <f>SUM(J19:J28)</f>
        <v>53671689.980000004</v>
      </c>
      <c r="K30" s="269">
        <f>SUM(K19:K28)</f>
        <v>53671.68998</v>
      </c>
      <c r="L30" s="269">
        <f aca="true" t="shared" si="30" ref="L30:W30">SUM(L19:L29)</f>
        <v>4190754.16</v>
      </c>
      <c r="M30" s="269">
        <f t="shared" si="30"/>
        <v>57862444.14</v>
      </c>
      <c r="N30" s="272">
        <f t="shared" si="30"/>
        <v>4190.75416</v>
      </c>
      <c r="O30" s="269">
        <f t="shared" si="30"/>
        <v>57862.44414</v>
      </c>
      <c r="P30" s="270">
        <f t="shared" si="30"/>
        <v>22282181.77</v>
      </c>
      <c r="Q30" s="271">
        <f t="shared" si="30"/>
        <v>80144625.91</v>
      </c>
      <c r="R30" s="270">
        <f t="shared" si="30"/>
        <v>22282.181770000003</v>
      </c>
      <c r="S30" s="269">
        <f t="shared" si="30"/>
        <v>80144.62591</v>
      </c>
      <c r="T30" s="269">
        <f t="shared" si="30"/>
        <v>5372648.210000001</v>
      </c>
      <c r="U30" s="269">
        <f t="shared" si="30"/>
        <v>85517274.12</v>
      </c>
      <c r="V30" s="272">
        <f t="shared" si="30"/>
        <v>5372.64821</v>
      </c>
      <c r="W30" s="269">
        <f t="shared" si="30"/>
        <v>85517.27412</v>
      </c>
      <c r="X30" s="269">
        <f>SUM(X19:X29)</f>
        <v>7317545.629999999</v>
      </c>
      <c r="Y30" s="269">
        <f>SUM(Y19:Y29)</f>
        <v>92834819.75</v>
      </c>
      <c r="Z30" s="272">
        <f>SUM(Z19:Z29)</f>
        <v>7317.5456300000005</v>
      </c>
      <c r="AA30" s="269">
        <f>SUM(AA19:AA29)</f>
        <v>92834.81975000001</v>
      </c>
    </row>
    <row r="31" spans="1:27" ht="15">
      <c r="A31" s="282"/>
      <c r="B31" s="261"/>
      <c r="C31" s="261"/>
      <c r="D31" s="261"/>
      <c r="E31" s="262">
        <f>E30-E21</f>
        <v>47249130.43</v>
      </c>
      <c r="F31" s="261"/>
      <c r="G31" s="262"/>
      <c r="H31" s="261"/>
      <c r="I31" s="261"/>
      <c r="J31" s="261"/>
      <c r="K31" s="261"/>
      <c r="L31" s="261"/>
      <c r="M31" s="261"/>
      <c r="N31" s="261"/>
      <c r="O31" s="261"/>
      <c r="P31" s="261"/>
      <c r="Q31" s="263"/>
      <c r="R31" s="261"/>
      <c r="S31" s="261"/>
      <c r="T31" s="261"/>
      <c r="U31" s="261"/>
      <c r="V31" s="261"/>
      <c r="W31" s="261"/>
      <c r="X31" s="262"/>
      <c r="Y31" s="261"/>
      <c r="Z31" s="261"/>
      <c r="AA31" s="261"/>
    </row>
    <row r="32" spans="1:27" ht="15.75">
      <c r="A32" s="286" t="s">
        <v>635</v>
      </c>
      <c r="B32" s="261"/>
      <c r="C32" s="261"/>
      <c r="D32" s="261"/>
      <c r="E32" s="261"/>
      <c r="F32" s="261"/>
      <c r="G32" s="262"/>
      <c r="H32" s="262"/>
      <c r="I32" s="261"/>
      <c r="J32" s="261"/>
      <c r="K32" s="261"/>
      <c r="L32" s="261"/>
      <c r="M32" s="261"/>
      <c r="N32" s="261"/>
      <c r="O32" s="261"/>
      <c r="P32" s="261"/>
      <c r="Q32" s="263"/>
      <c r="R32" s="261"/>
      <c r="S32" s="261"/>
      <c r="T32" s="261"/>
      <c r="U32" s="261"/>
      <c r="V32" s="261"/>
      <c r="W32" s="261"/>
      <c r="X32" s="262"/>
      <c r="Y32" s="261"/>
      <c r="Z32" s="261"/>
      <c r="AA32" s="261"/>
    </row>
    <row r="33" spans="1:27" ht="30">
      <c r="A33" s="283" t="s">
        <v>636</v>
      </c>
      <c r="B33" s="262"/>
      <c r="C33" s="262"/>
      <c r="D33" s="262"/>
      <c r="E33" s="262">
        <f>B33+C33+D33</f>
        <v>0</v>
      </c>
      <c r="F33" s="262"/>
      <c r="G33" s="262"/>
      <c r="H33" s="261"/>
      <c r="I33" s="261">
        <f>H33/1000</f>
        <v>0</v>
      </c>
      <c r="J33" s="262">
        <f aca="true" t="shared" si="31" ref="J33:K36">E33+H33</f>
        <v>0</v>
      </c>
      <c r="K33" s="262">
        <f>F33+I33</f>
        <v>0</v>
      </c>
      <c r="L33" s="261">
        <v>27350.38</v>
      </c>
      <c r="M33" s="262">
        <f>J33+L33</f>
        <v>27350.38</v>
      </c>
      <c r="N33" s="261">
        <f>L33/1000</f>
        <v>27.35038</v>
      </c>
      <c r="O33" s="262">
        <f>K33+N33</f>
        <v>27.35038</v>
      </c>
      <c r="P33" s="261">
        <v>100</v>
      </c>
      <c r="Q33" s="265">
        <f>M33+P33</f>
        <v>27450.38</v>
      </c>
      <c r="R33" s="261">
        <f>P33/1000</f>
        <v>0.1</v>
      </c>
      <c r="S33" s="262">
        <f>O33+R33</f>
        <v>27.450380000000003</v>
      </c>
      <c r="T33" s="261">
        <v>5737</v>
      </c>
      <c r="U33" s="262">
        <f>Q33+T33</f>
        <v>33187.380000000005</v>
      </c>
      <c r="V33" s="261">
        <f>T33/1000</f>
        <v>5.737</v>
      </c>
      <c r="W33" s="262">
        <f>S33+V33</f>
        <v>33.187380000000005</v>
      </c>
      <c r="X33" s="262">
        <v>12459.04</v>
      </c>
      <c r="Y33" s="262">
        <f>U33+X33</f>
        <v>45646.420000000006</v>
      </c>
      <c r="Z33" s="261">
        <f>X33/1000</f>
        <v>12.459040000000002</v>
      </c>
      <c r="AA33" s="262">
        <f>W33+Z33</f>
        <v>45.646420000000006</v>
      </c>
    </row>
    <row r="34" spans="1:27" ht="30">
      <c r="A34" s="283" t="s">
        <v>637</v>
      </c>
      <c r="B34" s="262"/>
      <c r="C34" s="262"/>
      <c r="D34" s="262"/>
      <c r="E34" s="262">
        <f>B34+C34+D34</f>
        <v>0</v>
      </c>
      <c r="F34" s="262"/>
      <c r="G34" s="262"/>
      <c r="H34" s="261"/>
      <c r="I34" s="261">
        <f>H34/1000</f>
        <v>0</v>
      </c>
      <c r="J34" s="262">
        <f t="shared" si="31"/>
        <v>0</v>
      </c>
      <c r="K34" s="262">
        <f t="shared" si="31"/>
        <v>0</v>
      </c>
      <c r="L34" s="261"/>
      <c r="M34" s="261"/>
      <c r="N34" s="261">
        <f>L34/1000</f>
        <v>0</v>
      </c>
      <c r="O34" s="262">
        <f>K34+N34</f>
        <v>0</v>
      </c>
      <c r="P34" s="261"/>
      <c r="Q34" s="265">
        <f>M34+P34</f>
        <v>0</v>
      </c>
      <c r="R34" s="261">
        <f>P34/1000</f>
        <v>0</v>
      </c>
      <c r="S34" s="262">
        <f>O34+R34</f>
        <v>0</v>
      </c>
      <c r="T34" s="261"/>
      <c r="U34" s="262">
        <f>Q34+T34</f>
        <v>0</v>
      </c>
      <c r="V34" s="261">
        <f>T34/1000</f>
        <v>0</v>
      </c>
      <c r="W34" s="262">
        <f>S34+V34</f>
        <v>0</v>
      </c>
      <c r="X34" s="262"/>
      <c r="Y34" s="262">
        <f>U34+X34</f>
        <v>0</v>
      </c>
      <c r="Z34" s="261">
        <f>X34/1000</f>
        <v>0</v>
      </c>
      <c r="AA34" s="262">
        <f>W34+Z34</f>
        <v>0</v>
      </c>
    </row>
    <row r="35" spans="1:27" ht="30">
      <c r="A35" s="283" t="s">
        <v>638</v>
      </c>
      <c r="B35" s="262">
        <v>1980323.4</v>
      </c>
      <c r="C35" s="262"/>
      <c r="D35" s="262"/>
      <c r="E35" s="262">
        <f>B35+C35+D35</f>
        <v>1980323.4</v>
      </c>
      <c r="F35" s="262">
        <f>2491989.8/1000</f>
        <v>2491.9898</v>
      </c>
      <c r="G35" s="262"/>
      <c r="H35" s="262"/>
      <c r="I35" s="261">
        <f>H35/1000</f>
        <v>0</v>
      </c>
      <c r="J35" s="262">
        <f t="shared" si="31"/>
        <v>1980323.4</v>
      </c>
      <c r="K35" s="262">
        <f t="shared" si="31"/>
        <v>2491.9898</v>
      </c>
      <c r="L35" s="261"/>
      <c r="M35" s="262">
        <f>J35+L35</f>
        <v>1980323.4</v>
      </c>
      <c r="N35" s="261">
        <f>L35/1000</f>
        <v>0</v>
      </c>
      <c r="O35" s="262">
        <f>K35+N35</f>
        <v>2491.9898</v>
      </c>
      <c r="P35" s="261"/>
      <c r="Q35" s="265">
        <f>M35+P35</f>
        <v>1980323.4</v>
      </c>
      <c r="R35" s="261">
        <f>P35/1000</f>
        <v>0</v>
      </c>
      <c r="S35" s="262">
        <f>O35+R35</f>
        <v>2491.9898</v>
      </c>
      <c r="T35" s="262"/>
      <c r="U35" s="262">
        <f>Q35+T35</f>
        <v>1980323.4</v>
      </c>
      <c r="V35" s="261">
        <f>T35/1000</f>
        <v>0</v>
      </c>
      <c r="W35" s="262">
        <f>S35+V35</f>
        <v>2491.9898</v>
      </c>
      <c r="X35" s="262"/>
      <c r="Y35" s="262">
        <f>U35+X35</f>
        <v>1980323.4</v>
      </c>
      <c r="Z35" s="261">
        <f>X35/1000</f>
        <v>0</v>
      </c>
      <c r="AA35" s="262">
        <f>W35+Z35</f>
        <v>2491.9898</v>
      </c>
    </row>
    <row r="36" spans="1:27" ht="30">
      <c r="A36" s="287" t="s">
        <v>639</v>
      </c>
      <c r="B36" s="262"/>
      <c r="C36" s="262"/>
      <c r="D36" s="262"/>
      <c r="E36" s="262">
        <f>B36+C36+D36</f>
        <v>0</v>
      </c>
      <c r="F36" s="262"/>
      <c r="G36" s="262"/>
      <c r="H36" s="262"/>
      <c r="I36" s="261">
        <f>H36/1000</f>
        <v>0</v>
      </c>
      <c r="J36" s="262">
        <f t="shared" si="31"/>
        <v>0</v>
      </c>
      <c r="K36" s="262">
        <f t="shared" si="31"/>
        <v>0</v>
      </c>
      <c r="L36" s="261"/>
      <c r="M36" s="261"/>
      <c r="N36" s="261">
        <f>L36/1000</f>
        <v>0</v>
      </c>
      <c r="O36" s="262">
        <f>K36+N36</f>
        <v>0</v>
      </c>
      <c r="P36" s="261"/>
      <c r="Q36" s="265">
        <f>M36+P36</f>
        <v>0</v>
      </c>
      <c r="R36" s="261">
        <f>P36/1000</f>
        <v>0</v>
      </c>
      <c r="S36" s="262">
        <f>O36+R36</f>
        <v>0</v>
      </c>
      <c r="T36" s="261"/>
      <c r="U36" s="262">
        <f>Q36+T36</f>
        <v>0</v>
      </c>
      <c r="V36" s="261">
        <f>T36/1000</f>
        <v>0</v>
      </c>
      <c r="W36" s="262">
        <f>S36+V36</f>
        <v>0</v>
      </c>
      <c r="X36" s="262"/>
      <c r="Y36" s="262">
        <f>U36+X36</f>
        <v>0</v>
      </c>
      <c r="Z36" s="261">
        <f>X36/1000</f>
        <v>0</v>
      </c>
      <c r="AA36" s="262">
        <f>W36+Z36</f>
        <v>0</v>
      </c>
    </row>
    <row r="37" spans="1:27" ht="16.5" thickBot="1">
      <c r="A37" s="285" t="s">
        <v>634</v>
      </c>
      <c r="B37" s="269">
        <f>SUM(B33:B36)</f>
        <v>1980323.4</v>
      </c>
      <c r="C37" s="269">
        <f>SUM(C33:C36)</f>
        <v>0</v>
      </c>
      <c r="D37" s="269">
        <f>SUM(D33:D36)</f>
        <v>0</v>
      </c>
      <c r="E37" s="269">
        <f>SUM(E33:E36)</f>
        <v>1980323.4</v>
      </c>
      <c r="F37" s="269">
        <f>SUM(F33:F36)</f>
        <v>2491.9898</v>
      </c>
      <c r="G37" s="269"/>
      <c r="H37" s="269">
        <f aca="true" t="shared" si="32" ref="H37:W37">SUM(H33:H36)</f>
        <v>0</v>
      </c>
      <c r="I37" s="272">
        <f t="shared" si="32"/>
        <v>0</v>
      </c>
      <c r="J37" s="269">
        <f t="shared" si="32"/>
        <v>1980323.4</v>
      </c>
      <c r="K37" s="269">
        <f t="shared" si="32"/>
        <v>2491.9898</v>
      </c>
      <c r="L37" s="272">
        <f t="shared" si="32"/>
        <v>27350.38</v>
      </c>
      <c r="M37" s="269">
        <f t="shared" si="32"/>
        <v>2007673.7799999998</v>
      </c>
      <c r="N37" s="272">
        <f t="shared" si="32"/>
        <v>27.35038</v>
      </c>
      <c r="O37" s="269">
        <f t="shared" si="32"/>
        <v>2519.3401799999997</v>
      </c>
      <c r="P37" s="288">
        <f t="shared" si="32"/>
        <v>100</v>
      </c>
      <c r="Q37" s="271">
        <f t="shared" si="32"/>
        <v>2007773.7799999998</v>
      </c>
      <c r="R37" s="288">
        <f t="shared" si="32"/>
        <v>0.1</v>
      </c>
      <c r="S37" s="269">
        <f t="shared" si="32"/>
        <v>2519.44018</v>
      </c>
      <c r="T37" s="269">
        <f t="shared" si="32"/>
        <v>5737</v>
      </c>
      <c r="U37" s="269">
        <f t="shared" si="32"/>
        <v>2013510.7799999998</v>
      </c>
      <c r="V37" s="272">
        <f t="shared" si="32"/>
        <v>5.737</v>
      </c>
      <c r="W37" s="269">
        <f t="shared" si="32"/>
        <v>2525.1771799999997</v>
      </c>
      <c r="X37" s="269">
        <f>SUM(X33:X36)</f>
        <v>12459.04</v>
      </c>
      <c r="Y37" s="269">
        <f>SUM(Y33:Y36)</f>
        <v>2025969.8199999998</v>
      </c>
      <c r="Z37" s="272">
        <f>SUM(Z33:Z36)</f>
        <v>12.459040000000002</v>
      </c>
      <c r="AA37" s="269">
        <f>SUM(AA33:AA36)</f>
        <v>2537.63622</v>
      </c>
    </row>
    <row r="38" spans="1:27" ht="15">
      <c r="A38" s="260"/>
      <c r="B38" s="261"/>
      <c r="C38" s="261"/>
      <c r="D38" s="261"/>
      <c r="E38" s="261"/>
      <c r="F38" s="261"/>
      <c r="G38" s="262"/>
      <c r="H38" s="262"/>
      <c r="I38" s="261"/>
      <c r="J38" s="261"/>
      <c r="K38" s="261"/>
      <c r="L38" s="261"/>
      <c r="M38" s="261"/>
      <c r="N38" s="261"/>
      <c r="O38" s="261"/>
      <c r="P38" s="261"/>
      <c r="Q38" s="263"/>
      <c r="R38" s="261"/>
      <c r="S38" s="261"/>
      <c r="T38" s="261"/>
      <c r="U38" s="261"/>
      <c r="V38" s="261"/>
      <c r="W38" s="261"/>
      <c r="X38" s="262"/>
      <c r="Y38" s="261"/>
      <c r="Z38" s="261"/>
      <c r="AA38" s="261"/>
    </row>
    <row r="39" spans="1:27" ht="31.5">
      <c r="A39" s="286" t="s">
        <v>640</v>
      </c>
      <c r="B39" s="269"/>
      <c r="C39" s="269"/>
      <c r="D39" s="269"/>
      <c r="E39" s="269"/>
      <c r="F39" s="269"/>
      <c r="G39" s="269"/>
      <c r="H39" s="262"/>
      <c r="I39" s="261"/>
      <c r="J39" s="261"/>
      <c r="K39" s="261"/>
      <c r="L39" s="261"/>
      <c r="M39" s="261"/>
      <c r="N39" s="261"/>
      <c r="O39" s="261"/>
      <c r="P39" s="261"/>
      <c r="Q39" s="263"/>
      <c r="R39" s="261"/>
      <c r="S39" s="261"/>
      <c r="T39" s="269"/>
      <c r="U39" s="261"/>
      <c r="V39" s="261"/>
      <c r="W39" s="261"/>
      <c r="X39" s="262"/>
      <c r="Y39" s="261"/>
      <c r="Z39" s="261"/>
      <c r="AA39" s="261"/>
    </row>
    <row r="40" spans="1:28" ht="31.5">
      <c r="A40" s="286" t="s">
        <v>641</v>
      </c>
      <c r="B40" s="262">
        <f>B16+B30-B37</f>
        <v>225012290.38</v>
      </c>
      <c r="C40" s="262">
        <f>C16+C30-C37</f>
        <v>144468950.28999996</v>
      </c>
      <c r="D40" s="262">
        <f>D16+D30-D37</f>
        <v>143670064.16000006</v>
      </c>
      <c r="E40" s="262">
        <f>E16+E30-E37</f>
        <v>513151304.83000034</v>
      </c>
      <c r="F40" s="262">
        <f>F16+F30-F37</f>
        <v>680805.3084300003</v>
      </c>
      <c r="G40" s="262"/>
      <c r="H40" s="269">
        <f aca="true" t="shared" si="33" ref="H40:Y40">H16+H30-H37</f>
        <v>158957290.13000003</v>
      </c>
      <c r="I40" s="269">
        <f t="shared" si="33"/>
        <v>215070.13112999997</v>
      </c>
      <c r="J40" s="269">
        <f t="shared" si="33"/>
        <v>672108594.9600004</v>
      </c>
      <c r="K40" s="269">
        <f t="shared" si="33"/>
        <v>895875.4395600002</v>
      </c>
      <c r="L40" s="269">
        <f t="shared" si="33"/>
        <v>15820729.669999925</v>
      </c>
      <c r="M40" s="269">
        <f t="shared" si="33"/>
        <v>687929324.6300005</v>
      </c>
      <c r="N40" s="269">
        <f t="shared" si="33"/>
        <v>72209.52566999989</v>
      </c>
      <c r="O40" s="269">
        <f t="shared" si="33"/>
        <v>968084.9652300002</v>
      </c>
      <c r="P40" s="269">
        <f t="shared" si="33"/>
        <v>74345065.96999994</v>
      </c>
      <c r="Q40" s="271">
        <f t="shared" si="33"/>
        <v>762274390.6000007</v>
      </c>
      <c r="R40" s="269">
        <f t="shared" si="33"/>
        <v>131356.35097</v>
      </c>
      <c r="S40" s="269">
        <f t="shared" si="33"/>
        <v>1099441.3162000002</v>
      </c>
      <c r="T40" s="269">
        <f t="shared" si="33"/>
        <v>112248537.21000007</v>
      </c>
      <c r="U40" s="269">
        <f t="shared" si="33"/>
        <v>874522927.8100009</v>
      </c>
      <c r="V40" s="272">
        <f t="shared" si="33"/>
        <v>168509.31121000004</v>
      </c>
      <c r="W40" s="269">
        <f t="shared" si="33"/>
        <v>1267950.6274100002</v>
      </c>
      <c r="X40" s="269">
        <f t="shared" si="33"/>
        <v>-13296882.780000005</v>
      </c>
      <c r="Y40" s="269">
        <f t="shared" si="33"/>
        <v>861226045.0300012</v>
      </c>
      <c r="Z40" s="272">
        <f>Z16+Z30-Z37</f>
        <v>42965.60622000002</v>
      </c>
      <c r="AA40" s="269">
        <f>AA16+AA30-AA37</f>
        <v>1310916.2336300006</v>
      </c>
      <c r="AB40" s="51"/>
    </row>
    <row r="41" spans="1:27" ht="15.75">
      <c r="A41" s="289" t="s">
        <v>642</v>
      </c>
      <c r="B41" s="261"/>
      <c r="C41" s="261"/>
      <c r="D41" s="261"/>
      <c r="E41" s="261"/>
      <c r="F41" s="261"/>
      <c r="G41" s="262"/>
      <c r="H41" s="261"/>
      <c r="I41" s="261"/>
      <c r="J41" s="261"/>
      <c r="K41" s="261"/>
      <c r="L41" s="261"/>
      <c r="M41" s="261"/>
      <c r="N41" s="261"/>
      <c r="O41" s="262">
        <f>K41+N41</f>
        <v>0</v>
      </c>
      <c r="P41" s="262">
        <v>-23615104</v>
      </c>
      <c r="Q41" s="265">
        <f>M41+P41</f>
        <v>-23615104</v>
      </c>
      <c r="R41" s="261">
        <v>43818.45</v>
      </c>
      <c r="S41" s="262">
        <f>O41+R41</f>
        <v>43818.45</v>
      </c>
      <c r="T41" s="261"/>
      <c r="U41" s="262">
        <f>Q41+T41</f>
        <v>-23615104</v>
      </c>
      <c r="V41" s="261">
        <f>T41/1000</f>
        <v>0</v>
      </c>
      <c r="W41" s="262">
        <f>S41+V41</f>
        <v>43818.45</v>
      </c>
      <c r="X41" s="262">
        <v>0</v>
      </c>
      <c r="Y41" s="262">
        <f>U41+X41</f>
        <v>-23615104</v>
      </c>
      <c r="Z41" s="261">
        <v>0</v>
      </c>
      <c r="AA41" s="262">
        <f>W41+Z41</f>
        <v>43818.45</v>
      </c>
    </row>
    <row r="42" spans="1:27" ht="15">
      <c r="A42" s="290" t="s">
        <v>643</v>
      </c>
      <c r="B42" s="262"/>
      <c r="C42" s="262"/>
      <c r="D42" s="262">
        <v>34853500</v>
      </c>
      <c r="E42" s="262">
        <f>B42+C42+D42</f>
        <v>34853500</v>
      </c>
      <c r="F42" s="262">
        <f>E42/1000</f>
        <v>34853.5</v>
      </c>
      <c r="G42" s="262"/>
      <c r="H42" s="261"/>
      <c r="I42" s="261"/>
      <c r="J42" s="262">
        <f>E42+H42</f>
        <v>34853500</v>
      </c>
      <c r="K42" s="262">
        <f>F42+I42</f>
        <v>34853.5</v>
      </c>
      <c r="L42" s="261"/>
      <c r="M42" s="262">
        <f>J42+L42</f>
        <v>34853500</v>
      </c>
      <c r="N42" s="261"/>
      <c r="O42" s="262">
        <f>K42+N42</f>
        <v>34853.5</v>
      </c>
      <c r="P42" s="262">
        <v>34853500</v>
      </c>
      <c r="Q42" s="265">
        <f>M42+P42</f>
        <v>69707000</v>
      </c>
      <c r="R42" s="261">
        <v>34853.5</v>
      </c>
      <c r="S42" s="262">
        <f>O42+R42</f>
        <v>69707</v>
      </c>
      <c r="T42" s="261"/>
      <c r="U42" s="262">
        <f>Q42+T42</f>
        <v>69707000</v>
      </c>
      <c r="V42" s="261">
        <f>T42/1000</f>
        <v>0</v>
      </c>
      <c r="W42" s="262">
        <f>S42+V42</f>
        <v>69707</v>
      </c>
      <c r="X42" s="262">
        <v>0</v>
      </c>
      <c r="Y42" s="262">
        <f>U42+X42</f>
        <v>69707000</v>
      </c>
      <c r="Z42" s="261">
        <v>0</v>
      </c>
      <c r="AA42" s="262">
        <f>W42+Z42</f>
        <v>69707</v>
      </c>
    </row>
    <row r="43" spans="1:27" ht="15.75">
      <c r="A43" s="291" t="s">
        <v>644</v>
      </c>
      <c r="B43" s="262">
        <v>27623631</v>
      </c>
      <c r="C43" s="262">
        <v>27623631</v>
      </c>
      <c r="D43" s="262">
        <v>27623631</v>
      </c>
      <c r="E43" s="262">
        <f>B43+C43+D43</f>
        <v>82870893</v>
      </c>
      <c r="F43" s="262">
        <f>E43/1000</f>
        <v>82870.893</v>
      </c>
      <c r="G43" s="262"/>
      <c r="H43" s="262">
        <v>17554901</v>
      </c>
      <c r="I43" s="261">
        <f>H43/1000</f>
        <v>17554.901</v>
      </c>
      <c r="J43" s="262">
        <f>E43+H43</f>
        <v>100425794</v>
      </c>
      <c r="K43" s="262">
        <f>F43+I43</f>
        <v>100425.794</v>
      </c>
      <c r="L43" s="262">
        <v>24894949</v>
      </c>
      <c r="M43" s="262">
        <f>J43+L43</f>
        <v>125320743</v>
      </c>
      <c r="N43" s="261">
        <f>L43/1000</f>
        <v>24894.949</v>
      </c>
      <c r="O43" s="262">
        <f>K43+N43</f>
        <v>125320.74299999999</v>
      </c>
      <c r="P43" s="262">
        <f>24894949+5596281</f>
        <v>30491230</v>
      </c>
      <c r="Q43" s="265">
        <f>M43+P43</f>
        <v>155811973</v>
      </c>
      <c r="R43" s="262">
        <f>P43/1000</f>
        <v>30491.23</v>
      </c>
      <c r="S43" s="262">
        <f>O43+R43</f>
        <v>155811.973</v>
      </c>
      <c r="T43" s="262">
        <v>24894949</v>
      </c>
      <c r="U43" s="262">
        <f>Q43+T43</f>
        <v>180706922</v>
      </c>
      <c r="V43" s="261">
        <f>T43/1000</f>
        <v>24894.949</v>
      </c>
      <c r="W43" s="262">
        <f>S43+V43</f>
        <v>180706.922</v>
      </c>
      <c r="X43" s="262">
        <v>24894949</v>
      </c>
      <c r="Y43" s="262">
        <f>U43+X43</f>
        <v>205601871</v>
      </c>
      <c r="Z43" s="261">
        <f>X43/1000</f>
        <v>24894.949</v>
      </c>
      <c r="AA43" s="262">
        <f>W43+Z43</f>
        <v>205601.87099999998</v>
      </c>
    </row>
    <row r="44" spans="2:27" ht="13.5" thickBot="1">
      <c r="B44" s="261"/>
      <c r="C44" s="261"/>
      <c r="D44" s="261"/>
      <c r="E44" s="261"/>
      <c r="F44" s="262"/>
      <c r="G44" s="262"/>
      <c r="H44" s="262"/>
      <c r="I44" s="261"/>
      <c r="J44" s="261"/>
      <c r="K44" s="261"/>
      <c r="L44" s="261"/>
      <c r="M44" s="261"/>
      <c r="N44" s="261"/>
      <c r="O44" s="261"/>
      <c r="P44" s="262"/>
      <c r="Q44" s="263"/>
      <c r="R44" s="262"/>
      <c r="S44" s="261"/>
      <c r="T44" s="261"/>
      <c r="U44" s="261"/>
      <c r="V44" s="261"/>
      <c r="W44" s="262">
        <f>S44+V44</f>
        <v>0</v>
      </c>
      <c r="X44" s="262"/>
      <c r="Y44" s="262">
        <f>U44+X44</f>
        <v>0</v>
      </c>
      <c r="Z44" s="261"/>
      <c r="AA44" s="262">
        <f>W44+Z44</f>
        <v>0</v>
      </c>
    </row>
    <row r="45" spans="1:27" ht="16.5" thickBot="1">
      <c r="A45" s="292" t="s">
        <v>645</v>
      </c>
      <c r="B45" s="261"/>
      <c r="C45" s="261"/>
      <c r="D45" s="261"/>
      <c r="E45" s="261"/>
      <c r="F45" s="262"/>
      <c r="G45" s="262"/>
      <c r="H45" s="262"/>
      <c r="I45" s="261"/>
      <c r="J45" s="261"/>
      <c r="K45" s="261"/>
      <c r="L45" s="261"/>
      <c r="M45" s="261"/>
      <c r="N45" s="261"/>
      <c r="O45" s="261"/>
      <c r="P45" s="261"/>
      <c r="Q45" s="263"/>
      <c r="R45" s="262"/>
      <c r="S45" s="261"/>
      <c r="T45" s="261"/>
      <c r="U45" s="261"/>
      <c r="V45" s="261"/>
      <c r="W45" s="261"/>
      <c r="X45" s="262"/>
      <c r="Y45" s="262">
        <f>U45+X45</f>
        <v>0</v>
      </c>
      <c r="Z45" s="261"/>
      <c r="AA45" s="262">
        <f>W45+Z45</f>
        <v>0</v>
      </c>
    </row>
    <row r="46" spans="1:27" ht="15.75">
      <c r="A46" s="293" t="s">
        <v>646</v>
      </c>
      <c r="B46" s="269">
        <f>B40-B43</f>
        <v>197388659.38</v>
      </c>
      <c r="C46" s="269">
        <f>C40-C43</f>
        <v>116845319.28999996</v>
      </c>
      <c r="D46" s="269">
        <f>D40-D42-D43-D44-D45</f>
        <v>81192933.16000006</v>
      </c>
      <c r="E46" s="269">
        <f>E40-E42-E43</f>
        <v>395426911.83000034</v>
      </c>
      <c r="F46" s="269">
        <f>F40-F42-F43</f>
        <v>563080.9154300003</v>
      </c>
      <c r="G46" s="269"/>
      <c r="H46" s="269">
        <f>H40-H43</f>
        <v>141402389.13000003</v>
      </c>
      <c r="I46" s="269">
        <f>I40-I43-I42</f>
        <v>197515.23012999995</v>
      </c>
      <c r="J46" s="269">
        <f>J40-J42-J43</f>
        <v>536829300.9600004</v>
      </c>
      <c r="K46" s="269">
        <f>K40-K43-K42</f>
        <v>760596.1455600002</v>
      </c>
      <c r="L46" s="269">
        <f>L40-L42-L43</f>
        <v>-9074219.330000075</v>
      </c>
      <c r="M46" s="269">
        <f>M40-M42-M43</f>
        <v>527755081.6300005</v>
      </c>
      <c r="N46" s="269">
        <f>N40-N42-N43</f>
        <v>47314.576669999886</v>
      </c>
      <c r="O46" s="269">
        <f aca="true" t="shared" si="34" ref="O46:U46">O40-O41-O42-O43</f>
        <v>807910.7222300002</v>
      </c>
      <c r="P46" s="269">
        <f t="shared" si="34"/>
        <v>32615439.96999994</v>
      </c>
      <c r="Q46" s="271">
        <f t="shared" si="34"/>
        <v>560370521.6000007</v>
      </c>
      <c r="R46" s="269">
        <f t="shared" si="34"/>
        <v>22193.170970000003</v>
      </c>
      <c r="S46" s="269">
        <f t="shared" si="34"/>
        <v>830103.8932000003</v>
      </c>
      <c r="T46" s="269">
        <f t="shared" si="34"/>
        <v>87353588.21000007</v>
      </c>
      <c r="U46" s="269">
        <f t="shared" si="34"/>
        <v>647724109.8100009</v>
      </c>
      <c r="V46" s="272">
        <f>V40-V43</f>
        <v>143614.36221000005</v>
      </c>
      <c r="W46" s="269">
        <f>W40-W41-W42-W43</f>
        <v>973718.2554100002</v>
      </c>
      <c r="X46" s="269">
        <f>X40-X41-X42-X43</f>
        <v>-38191831.78</v>
      </c>
      <c r="Y46" s="269">
        <f>Y40-Y41-Y42-Y43</f>
        <v>609532278.0300012</v>
      </c>
      <c r="Z46" s="272">
        <f>Z40-Z41-Z42-Z43-Z44-Z45</f>
        <v>18070.657220000023</v>
      </c>
      <c r="AA46" s="269">
        <f>AA40-AA41-AA42-AA43-AA44-AA45</f>
        <v>991788.9126300006</v>
      </c>
    </row>
    <row r="47" spans="1:27" ht="16.5" thickBot="1">
      <c r="A47" s="294" t="s">
        <v>647</v>
      </c>
      <c r="B47" s="261"/>
      <c r="C47" s="261"/>
      <c r="D47" s="261"/>
      <c r="E47" s="261"/>
      <c r="F47" s="262"/>
      <c r="G47" s="261"/>
      <c r="H47" s="261"/>
      <c r="I47" s="261"/>
      <c r="J47" s="261"/>
      <c r="K47" s="261"/>
      <c r="L47" s="261"/>
      <c r="M47" s="261"/>
      <c r="N47" s="261"/>
      <c r="O47" s="262">
        <f>K46+N46</f>
        <v>807910.7222300001</v>
      </c>
      <c r="P47" s="262">
        <v>34542824.97</v>
      </c>
      <c r="Q47" s="295">
        <v>560370521.6</v>
      </c>
      <c r="R47" s="261"/>
      <c r="S47" s="262">
        <f>O46+R46</f>
        <v>830103.8932000002</v>
      </c>
      <c r="T47" s="261"/>
      <c r="U47" s="261"/>
      <c r="V47" s="261"/>
      <c r="W47" s="261"/>
      <c r="X47" s="261"/>
      <c r="Y47" s="261"/>
      <c r="Z47" s="261"/>
      <c r="AA47" s="261"/>
    </row>
    <row r="48" spans="1:27" ht="12.75">
      <c r="A48" s="296"/>
      <c r="H48" s="297">
        <v>141402389.13</v>
      </c>
      <c r="J48" s="262">
        <v>536829300.96</v>
      </c>
      <c r="K48" s="262">
        <f>F46+I46</f>
        <v>760596.1455600002</v>
      </c>
      <c r="L48" s="261"/>
      <c r="M48" s="262">
        <f>J46+L46</f>
        <v>527755081.6300003</v>
      </c>
      <c r="N48" s="262">
        <f>L46+1604169+103447682+21728-47792786-891997</f>
        <v>47314576.66999993</v>
      </c>
      <c r="O48" s="262"/>
      <c r="P48" s="262"/>
      <c r="Q48" s="298"/>
      <c r="R48" s="261"/>
      <c r="S48" s="262"/>
      <c r="T48" s="261"/>
      <c r="U48" s="261"/>
      <c r="V48" s="261"/>
      <c r="W48" s="261"/>
      <c r="X48" s="261"/>
      <c r="Y48" s="261"/>
      <c r="Z48" s="261"/>
      <c r="AA48" s="261"/>
    </row>
    <row r="49" spans="8:25" ht="12.75">
      <c r="H49" s="51">
        <f>H48-H46</f>
        <v>0</v>
      </c>
      <c r="J49" s="51">
        <f>J46-J48</f>
        <v>0</v>
      </c>
      <c r="M49" s="51">
        <f>M46-M48</f>
        <v>0</v>
      </c>
      <c r="O49" s="51"/>
      <c r="P49" s="51"/>
      <c r="Q49" s="51"/>
      <c r="S49" s="51"/>
      <c r="Y49">
        <v>609727776.5500007</v>
      </c>
    </row>
    <row r="50" spans="2:25" ht="12.75">
      <c r="B50" s="51"/>
      <c r="C50" s="51"/>
      <c r="D50" s="51"/>
      <c r="H50" s="51"/>
      <c r="P50" s="51"/>
      <c r="Q50" s="51"/>
      <c r="S50" s="51"/>
      <c r="U50" s="51">
        <f>U41+U43</f>
        <v>157091818</v>
      </c>
      <c r="Y50">
        <v>-7172109</v>
      </c>
    </row>
    <row r="51" spans="8:25" ht="12.75">
      <c r="H51" s="51"/>
      <c r="Q51" s="51"/>
      <c r="R51" s="51"/>
      <c r="S51" s="51"/>
      <c r="Y51">
        <v>-386676672.04</v>
      </c>
    </row>
    <row r="52" spans="17:25" ht="12.75">
      <c r="Q52" s="51"/>
      <c r="S52" s="51"/>
      <c r="Y52">
        <v>2025969.82</v>
      </c>
    </row>
    <row r="53" spans="17:25" ht="12.75">
      <c r="Q53" s="51"/>
      <c r="S53" s="51"/>
      <c r="Y53">
        <v>-2537640</v>
      </c>
    </row>
    <row r="54" spans="19:25" ht="12.75">
      <c r="S54" s="51"/>
      <c r="Y54">
        <v>-23615104</v>
      </c>
    </row>
    <row r="55" spans="16:25" ht="12.75">
      <c r="P55" s="51"/>
      <c r="Y55">
        <v>-43818450</v>
      </c>
    </row>
    <row r="57" spans="17:25" ht="12.75">
      <c r="Q57" s="51"/>
      <c r="Y57">
        <v>12926331</v>
      </c>
    </row>
    <row r="58" ht="12.75">
      <c r="Y58">
        <v>831101805</v>
      </c>
    </row>
    <row r="59" ht="12.75">
      <c r="Y59">
        <v>21728</v>
      </c>
    </row>
    <row r="61" ht="12.75">
      <c r="Y61">
        <f>SUM(Y49:Y60)</f>
        <v>991983635.3300006</v>
      </c>
    </row>
    <row r="62" ht="12.75">
      <c r="Y62">
        <f>Y61/1000</f>
        <v>991983.6353300007</v>
      </c>
    </row>
    <row r="63" ht="15">
      <c r="Y63" s="305">
        <f>AA46</f>
        <v>991788.9126300006</v>
      </c>
    </row>
    <row r="64" ht="12.75">
      <c r="Y64" s="51">
        <f>Y62-Y63</f>
        <v>194.7227000000421</v>
      </c>
    </row>
    <row r="65" ht="12.75">
      <c r="Y65" s="51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K33" sqref="K33"/>
    </sheetView>
  </sheetViews>
  <sheetFormatPr defaultColWidth="9.00390625" defaultRowHeight="12.75"/>
  <cols>
    <col min="2" max="2" width="20.00390625" style="0" customWidth="1"/>
    <col min="3" max="3" width="17.25390625" style="0" customWidth="1"/>
    <col min="4" max="4" width="27.75390625" style="0" customWidth="1"/>
  </cols>
  <sheetData>
    <row r="1" spans="1:4" ht="15.75">
      <c r="A1" s="306" t="s">
        <v>660</v>
      </c>
      <c r="B1" s="307"/>
      <c r="C1" s="307"/>
      <c r="D1" s="307"/>
    </row>
    <row r="2" spans="1:4" ht="12.75">
      <c r="A2" s="308" t="s">
        <v>196</v>
      </c>
      <c r="B2" s="308" t="s">
        <v>197</v>
      </c>
      <c r="C2" s="307"/>
      <c r="D2" s="307"/>
    </row>
    <row r="3" spans="1:4" ht="12.75">
      <c r="A3" s="309" t="s">
        <v>369</v>
      </c>
      <c r="B3" s="310" t="s">
        <v>661</v>
      </c>
      <c r="C3" s="310" t="s">
        <v>191</v>
      </c>
      <c r="D3" s="310" t="s">
        <v>192</v>
      </c>
    </row>
    <row r="4" spans="1:4" ht="12.75">
      <c r="A4" s="311">
        <v>3510</v>
      </c>
      <c r="B4" s="312" t="s">
        <v>662</v>
      </c>
      <c r="C4" s="313"/>
      <c r="D4" s="314">
        <v>692541251.43</v>
      </c>
    </row>
    <row r="5" spans="1:4" ht="12.75">
      <c r="A5" s="315"/>
      <c r="B5" s="316">
        <v>1000</v>
      </c>
      <c r="C5" s="317"/>
      <c r="D5" s="318">
        <v>5574603733.879999</v>
      </c>
    </row>
    <row r="6" spans="1:4" ht="12.75">
      <c r="A6" s="319"/>
      <c r="B6" s="316">
        <v>1030</v>
      </c>
      <c r="C6" s="317"/>
      <c r="D6" s="318">
        <v>5574603733.879999</v>
      </c>
    </row>
    <row r="7" spans="1:4" ht="12.75">
      <c r="A7" s="320"/>
      <c r="B7" s="316">
        <v>1031</v>
      </c>
      <c r="C7" s="317"/>
      <c r="D7" s="318">
        <v>5574603733.879999</v>
      </c>
    </row>
    <row r="8" spans="1:4" ht="12.75">
      <c r="A8" s="315"/>
      <c r="B8" s="316">
        <v>1200</v>
      </c>
      <c r="C8" s="318">
        <v>5642428853.719999</v>
      </c>
      <c r="D8" s="318">
        <v>129980200.86</v>
      </c>
    </row>
    <row r="9" spans="1:4" ht="12.75">
      <c r="A9" s="319"/>
      <c r="B9" s="316">
        <v>1201</v>
      </c>
      <c r="C9" s="318">
        <v>14827187.11</v>
      </c>
      <c r="D9" s="317"/>
    </row>
    <row r="10" spans="1:4" ht="12.75">
      <c r="A10" s="319"/>
      <c r="B10" s="316">
        <v>1210</v>
      </c>
      <c r="C10" s="318">
        <v>5627601666.61</v>
      </c>
      <c r="D10" s="318">
        <v>129980200.86</v>
      </c>
    </row>
    <row r="11" spans="1:4" ht="12.75">
      <c r="A11" s="320"/>
      <c r="B11" s="316">
        <v>1211</v>
      </c>
      <c r="C11" s="318">
        <v>5627601666.61</v>
      </c>
      <c r="D11" s="318">
        <v>129980200.86</v>
      </c>
    </row>
    <row r="12" spans="1:4" ht="12.75">
      <c r="A12" s="321"/>
      <c r="B12" s="312" t="s">
        <v>663</v>
      </c>
      <c r="C12" s="314">
        <v>5642428853.719999</v>
      </c>
      <c r="D12" s="314">
        <v>5704583934.74</v>
      </c>
    </row>
    <row r="13" spans="1:4" ht="12.75">
      <c r="A13" s="321"/>
      <c r="B13" s="312" t="s">
        <v>664</v>
      </c>
      <c r="C13" s="313"/>
      <c r="D13" s="314">
        <v>754696332.45</v>
      </c>
    </row>
    <row r="14" spans="1:4" ht="12.75">
      <c r="A14" s="307"/>
      <c r="B14" s="307"/>
      <c r="C14" s="307"/>
      <c r="D14" s="307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114">
      <selection activeCell="F201" sqref="F201"/>
    </sheetView>
  </sheetViews>
  <sheetFormatPr defaultColWidth="8.75390625" defaultRowHeight="12.75" outlineLevelRow="2"/>
  <cols>
    <col min="1" max="1" width="30.875" style="89" customWidth="1"/>
    <col min="2" max="7" width="16.125" style="89" customWidth="1"/>
  </cols>
  <sheetData>
    <row r="1" ht="12.75" customHeight="1">
      <c r="A1" s="88" t="s">
        <v>195</v>
      </c>
    </row>
    <row r="2" ht="15.75" customHeight="1">
      <c r="A2" s="90" t="s">
        <v>665</v>
      </c>
    </row>
    <row r="3" spans="1:2" ht="10.5" customHeight="1">
      <c r="A3" s="89" t="s">
        <v>196</v>
      </c>
      <c r="B3" s="89" t="s">
        <v>197</v>
      </c>
    </row>
    <row r="4" spans="1:7" ht="12" customHeight="1">
      <c r="A4" s="377" t="s">
        <v>198</v>
      </c>
      <c r="B4" s="378" t="s">
        <v>199</v>
      </c>
      <c r="C4" s="378"/>
      <c r="D4" s="378" t="s">
        <v>200</v>
      </c>
      <c r="E4" s="378"/>
      <c r="F4" s="378" t="s">
        <v>201</v>
      </c>
      <c r="G4" s="378"/>
    </row>
    <row r="5" spans="1:7" ht="12" customHeight="1">
      <c r="A5" s="377"/>
      <c r="B5" s="332" t="s">
        <v>191</v>
      </c>
      <c r="C5" s="332" t="s">
        <v>192</v>
      </c>
      <c r="D5" s="332" t="s">
        <v>191</v>
      </c>
      <c r="E5" s="332" t="s">
        <v>192</v>
      </c>
      <c r="F5" s="332" t="s">
        <v>191</v>
      </c>
      <c r="G5" s="332" t="s">
        <v>192</v>
      </c>
    </row>
    <row r="6" spans="1:7" ht="12" customHeight="1">
      <c r="A6" s="106" t="s">
        <v>202</v>
      </c>
      <c r="B6" s="333">
        <v>1720310395.96</v>
      </c>
      <c r="C6" s="108"/>
      <c r="D6" s="333">
        <v>88679530213.20999</v>
      </c>
      <c r="E6" s="333">
        <v>88059329619.06999</v>
      </c>
      <c r="F6" s="333">
        <v>2340510990.1</v>
      </c>
      <c r="G6" s="108"/>
    </row>
    <row r="7" spans="1:7" ht="24" customHeight="1" outlineLevel="1">
      <c r="A7" s="109" t="s">
        <v>203</v>
      </c>
      <c r="B7" s="110">
        <v>272999.13</v>
      </c>
      <c r="C7" s="111"/>
      <c r="D7" s="110">
        <v>55836609.04</v>
      </c>
      <c r="E7" s="110">
        <v>55836505.58</v>
      </c>
      <c r="F7" s="110">
        <v>273102.59</v>
      </c>
      <c r="G7" s="111"/>
    </row>
    <row r="8" spans="1:7" ht="24" customHeight="1" outlineLevel="1">
      <c r="A8" s="112" t="s">
        <v>204</v>
      </c>
      <c r="B8" s="113">
        <v>19156927.68</v>
      </c>
      <c r="C8" s="114"/>
      <c r="D8" s="113">
        <v>29780000</v>
      </c>
      <c r="E8" s="113">
        <v>18849472.85</v>
      </c>
      <c r="F8" s="113">
        <v>30087454.83</v>
      </c>
      <c r="G8" s="114"/>
    </row>
    <row r="9" spans="1:7" ht="24" customHeight="1" outlineLevel="2">
      <c r="A9" s="115" t="s">
        <v>205</v>
      </c>
      <c r="B9" s="110">
        <v>19156927.68</v>
      </c>
      <c r="C9" s="111"/>
      <c r="D9" s="110">
        <v>29780000</v>
      </c>
      <c r="E9" s="110">
        <v>18849472.85</v>
      </c>
      <c r="F9" s="110">
        <v>30087454.83</v>
      </c>
      <c r="G9" s="111"/>
    </row>
    <row r="10" spans="1:7" ht="24" customHeight="1" outlineLevel="1">
      <c r="A10" s="112" t="s">
        <v>206</v>
      </c>
      <c r="B10" s="113">
        <v>1700880469.15</v>
      </c>
      <c r="C10" s="114"/>
      <c r="D10" s="113">
        <v>54304651934.17</v>
      </c>
      <c r="E10" s="113">
        <v>54289470018.54</v>
      </c>
      <c r="F10" s="113">
        <v>1716062384.78</v>
      </c>
      <c r="G10" s="114"/>
    </row>
    <row r="11" spans="1:7" ht="24" customHeight="1" outlineLevel="2">
      <c r="A11" s="115" t="s">
        <v>207</v>
      </c>
      <c r="B11" s="110">
        <v>1700880469.15</v>
      </c>
      <c r="C11" s="111"/>
      <c r="D11" s="110">
        <v>54304651934.17</v>
      </c>
      <c r="E11" s="110">
        <v>54289470018.54</v>
      </c>
      <c r="F11" s="110">
        <v>1716062384.78</v>
      </c>
      <c r="G11" s="111"/>
    </row>
    <row r="12" spans="1:7" ht="24" customHeight="1" outlineLevel="1">
      <c r="A12" s="112" t="s">
        <v>384</v>
      </c>
      <c r="B12" s="114"/>
      <c r="C12" s="114"/>
      <c r="D12" s="113">
        <v>34289261670</v>
      </c>
      <c r="E12" s="113">
        <v>33695173622.1</v>
      </c>
      <c r="F12" s="113">
        <v>594088047.9</v>
      </c>
      <c r="G12" s="114"/>
    </row>
    <row r="13" spans="1:7" ht="36" customHeight="1" outlineLevel="2">
      <c r="A13" s="115" t="s">
        <v>385</v>
      </c>
      <c r="B13" s="111"/>
      <c r="C13" s="111"/>
      <c r="D13" s="110">
        <v>34289261670</v>
      </c>
      <c r="E13" s="110">
        <v>33695173622.1</v>
      </c>
      <c r="F13" s="110">
        <v>594088047.9</v>
      </c>
      <c r="G13" s="111"/>
    </row>
    <row r="14" spans="1:7" ht="24" customHeight="1">
      <c r="A14" s="106" t="s">
        <v>208</v>
      </c>
      <c r="B14" s="333">
        <v>218607842.51</v>
      </c>
      <c r="C14" s="108"/>
      <c r="D14" s="333">
        <v>7841727643.540001</v>
      </c>
      <c r="E14" s="333">
        <v>7846064214.469999</v>
      </c>
      <c r="F14" s="333">
        <v>214271271.58</v>
      </c>
      <c r="G14" s="108"/>
    </row>
    <row r="15" spans="1:7" ht="24" customHeight="1" outlineLevel="1">
      <c r="A15" s="109" t="s">
        <v>209</v>
      </c>
      <c r="B15" s="110">
        <v>17516139.74</v>
      </c>
      <c r="C15" s="111"/>
      <c r="D15" s="110">
        <v>39499844.83</v>
      </c>
      <c r="E15" s="110">
        <v>40504651.25</v>
      </c>
      <c r="F15" s="110">
        <v>16511333.32</v>
      </c>
      <c r="G15" s="111"/>
    </row>
    <row r="16" spans="1:7" ht="24" customHeight="1" outlineLevel="1">
      <c r="A16" s="109" t="s">
        <v>210</v>
      </c>
      <c r="B16" s="111"/>
      <c r="C16" s="111"/>
      <c r="D16" s="110">
        <v>74308</v>
      </c>
      <c r="E16" s="110">
        <v>73779.57</v>
      </c>
      <c r="F16" s="116">
        <v>528.43</v>
      </c>
      <c r="G16" s="111"/>
    </row>
    <row r="17" spans="1:7" ht="36" customHeight="1" outlineLevel="1">
      <c r="A17" s="112" t="s">
        <v>211</v>
      </c>
      <c r="B17" s="113">
        <v>204392277.75</v>
      </c>
      <c r="C17" s="114"/>
      <c r="D17" s="113">
        <v>7531831023.740001</v>
      </c>
      <c r="E17" s="113">
        <v>7529418925.799999</v>
      </c>
      <c r="F17" s="113">
        <v>206804375.69</v>
      </c>
      <c r="G17" s="114"/>
    </row>
    <row r="18" spans="1:7" ht="36" customHeight="1" outlineLevel="2">
      <c r="A18" s="115" t="s">
        <v>212</v>
      </c>
      <c r="B18" s="110">
        <v>204392277.75</v>
      </c>
      <c r="C18" s="111"/>
      <c r="D18" s="110">
        <v>7531831023.740001</v>
      </c>
      <c r="E18" s="110">
        <v>7529418925.799999</v>
      </c>
      <c r="F18" s="110">
        <v>206804375.69</v>
      </c>
      <c r="G18" s="111"/>
    </row>
    <row r="19" spans="1:7" ht="36" customHeight="1" outlineLevel="1">
      <c r="A19" s="112" t="s">
        <v>213</v>
      </c>
      <c r="B19" s="113">
        <v>1351187.53</v>
      </c>
      <c r="C19" s="114"/>
      <c r="D19" s="113">
        <v>66623166.95</v>
      </c>
      <c r="E19" s="113">
        <v>63831549.51</v>
      </c>
      <c r="F19" s="113">
        <v>4142804.97</v>
      </c>
      <c r="G19" s="114"/>
    </row>
    <row r="20" spans="1:7" ht="36" customHeight="1" outlineLevel="2">
      <c r="A20" s="115" t="s">
        <v>214</v>
      </c>
      <c r="B20" s="110">
        <v>1200341.61</v>
      </c>
      <c r="C20" s="111"/>
      <c r="D20" s="110">
        <v>63058311.95</v>
      </c>
      <c r="E20" s="110">
        <v>61385061.56</v>
      </c>
      <c r="F20" s="110">
        <v>2873592</v>
      </c>
      <c r="G20" s="111"/>
    </row>
    <row r="21" spans="1:7" ht="36" customHeight="1" outlineLevel="2">
      <c r="A21" s="115" t="s">
        <v>215</v>
      </c>
      <c r="B21" s="110">
        <v>150845.92</v>
      </c>
      <c r="C21" s="111"/>
      <c r="D21" s="110">
        <v>3335300</v>
      </c>
      <c r="E21" s="110">
        <v>2216932.95</v>
      </c>
      <c r="F21" s="110">
        <v>1269212.97</v>
      </c>
      <c r="G21" s="111"/>
    </row>
    <row r="22" spans="1:7" ht="36" customHeight="1" outlineLevel="2">
      <c r="A22" s="115" t="s">
        <v>216</v>
      </c>
      <c r="B22" s="111"/>
      <c r="C22" s="111"/>
      <c r="D22" s="110">
        <v>229555</v>
      </c>
      <c r="E22" s="110">
        <v>229555</v>
      </c>
      <c r="F22" s="111"/>
      <c r="G22" s="111"/>
    </row>
    <row r="23" spans="1:7" ht="24" customHeight="1" outlineLevel="1">
      <c r="A23" s="112" t="s">
        <v>386</v>
      </c>
      <c r="B23" s="114"/>
      <c r="C23" s="114"/>
      <c r="D23" s="113">
        <v>5377190.85</v>
      </c>
      <c r="E23" s="113">
        <v>5377190.85</v>
      </c>
      <c r="F23" s="114"/>
      <c r="G23" s="114"/>
    </row>
    <row r="24" spans="1:7" ht="36" customHeight="1" outlineLevel="2">
      <c r="A24" s="115" t="s">
        <v>387</v>
      </c>
      <c r="B24" s="111"/>
      <c r="C24" s="111"/>
      <c r="D24" s="110">
        <v>5377190.85</v>
      </c>
      <c r="E24" s="110">
        <v>5377190.85</v>
      </c>
      <c r="F24" s="111"/>
      <c r="G24" s="111"/>
    </row>
    <row r="25" spans="1:7" ht="24" customHeight="1" outlineLevel="1">
      <c r="A25" s="109" t="s">
        <v>217</v>
      </c>
      <c r="B25" s="110">
        <v>24581809.39</v>
      </c>
      <c r="C25" s="111"/>
      <c r="D25" s="110">
        <v>198322109.17</v>
      </c>
      <c r="E25" s="110">
        <v>196103455</v>
      </c>
      <c r="F25" s="110">
        <v>26800463.56</v>
      </c>
      <c r="G25" s="111"/>
    </row>
    <row r="26" spans="1:7" ht="24" customHeight="1" outlineLevel="2">
      <c r="A26" s="115" t="s">
        <v>217</v>
      </c>
      <c r="B26" s="110">
        <v>12821531.16</v>
      </c>
      <c r="C26" s="111"/>
      <c r="D26" s="110">
        <v>195248362.7</v>
      </c>
      <c r="E26" s="110">
        <v>196103455.28</v>
      </c>
      <c r="F26" s="110">
        <v>11966438.58</v>
      </c>
      <c r="G26" s="111"/>
    </row>
    <row r="27" spans="1:7" ht="24" customHeight="1" outlineLevel="2">
      <c r="A27" s="115" t="s">
        <v>368</v>
      </c>
      <c r="B27" s="110">
        <v>9372119.23</v>
      </c>
      <c r="C27" s="111"/>
      <c r="D27" s="110">
        <v>3073746.47</v>
      </c>
      <c r="E27" s="111"/>
      <c r="F27" s="110">
        <v>12445865.7</v>
      </c>
      <c r="G27" s="111"/>
    </row>
    <row r="28" spans="1:7" ht="24" customHeight="1" outlineLevel="2">
      <c r="A28" s="115" t="s">
        <v>218</v>
      </c>
      <c r="B28" s="110">
        <v>2388159</v>
      </c>
      <c r="C28" s="111"/>
      <c r="D28" s="111"/>
      <c r="E28" s="117">
        <v>-0.28</v>
      </c>
      <c r="F28" s="110">
        <v>2388159.28</v>
      </c>
      <c r="G28" s="111"/>
    </row>
    <row r="29" spans="1:7" ht="24" customHeight="1" outlineLevel="1">
      <c r="A29" s="112" t="s">
        <v>219</v>
      </c>
      <c r="B29" s="114"/>
      <c r="C29" s="113">
        <v>29233571.9</v>
      </c>
      <c r="D29" s="114"/>
      <c r="E29" s="113">
        <v>10754662.49</v>
      </c>
      <c r="F29" s="114"/>
      <c r="G29" s="113">
        <v>39988234.39</v>
      </c>
    </row>
    <row r="30" spans="1:7" ht="58.5" customHeight="1" outlineLevel="2">
      <c r="A30" s="115" t="s">
        <v>362</v>
      </c>
      <c r="B30" s="111"/>
      <c r="C30" s="110">
        <v>22769018.21</v>
      </c>
      <c r="D30" s="111"/>
      <c r="E30" s="110">
        <v>10754662.49</v>
      </c>
      <c r="F30" s="111"/>
      <c r="G30" s="110">
        <v>33523680.7</v>
      </c>
    </row>
    <row r="31" spans="1:7" ht="58.5" customHeight="1" outlineLevel="2">
      <c r="A31" s="115" t="s">
        <v>363</v>
      </c>
      <c r="B31" s="111"/>
      <c r="C31" s="110">
        <v>6464553.69</v>
      </c>
      <c r="D31" s="111"/>
      <c r="E31" s="111"/>
      <c r="F31" s="111"/>
      <c r="G31" s="110">
        <v>6464553.69</v>
      </c>
    </row>
    <row r="32" spans="1:7" ht="12" customHeight="1">
      <c r="A32" s="106" t="s">
        <v>220</v>
      </c>
      <c r="B32" s="333">
        <v>209302910.32</v>
      </c>
      <c r="C32" s="108"/>
      <c r="D32" s="333">
        <v>2343413750.18</v>
      </c>
      <c r="E32" s="333">
        <v>2321019316.3</v>
      </c>
      <c r="F32" s="333">
        <v>231697344.2</v>
      </c>
      <c r="G32" s="108"/>
    </row>
    <row r="33" spans="1:7" ht="12" customHeight="1" outlineLevel="1">
      <c r="A33" s="112" t="s">
        <v>221</v>
      </c>
      <c r="B33" s="113">
        <v>209259712.67</v>
      </c>
      <c r="C33" s="114"/>
      <c r="D33" s="113">
        <v>485035784.21</v>
      </c>
      <c r="E33" s="113">
        <v>462823915.07</v>
      </c>
      <c r="F33" s="113">
        <v>231471581.81</v>
      </c>
      <c r="G33" s="114"/>
    </row>
    <row r="34" spans="1:7" ht="12" customHeight="1" outlineLevel="2">
      <c r="A34" s="115" t="s">
        <v>222</v>
      </c>
      <c r="B34" s="110">
        <v>176712696.49</v>
      </c>
      <c r="C34" s="111"/>
      <c r="D34" s="110">
        <v>299304048.98</v>
      </c>
      <c r="E34" s="110">
        <v>296673259.78</v>
      </c>
      <c r="F34" s="110">
        <v>179343485.69</v>
      </c>
      <c r="G34" s="111"/>
    </row>
    <row r="35" spans="1:7" ht="12" customHeight="1" outlineLevel="2">
      <c r="A35" s="115" t="s">
        <v>223</v>
      </c>
      <c r="B35" s="110">
        <v>2898906.65</v>
      </c>
      <c r="C35" s="111"/>
      <c r="D35" s="110">
        <v>125578756.21</v>
      </c>
      <c r="E35" s="110">
        <v>111498929.84</v>
      </c>
      <c r="F35" s="110">
        <v>16978733.02</v>
      </c>
      <c r="G35" s="111"/>
    </row>
    <row r="36" spans="1:7" ht="12" customHeight="1" outlineLevel="2">
      <c r="A36" s="115" t="s">
        <v>224</v>
      </c>
      <c r="B36" s="110">
        <v>8900605.9</v>
      </c>
      <c r="C36" s="111"/>
      <c r="D36" s="110">
        <v>21984673.9</v>
      </c>
      <c r="E36" s="110">
        <v>19395566.62</v>
      </c>
      <c r="F36" s="110">
        <v>11489713.18</v>
      </c>
      <c r="G36" s="111"/>
    </row>
    <row r="37" spans="1:7" ht="24" customHeight="1" outlineLevel="2">
      <c r="A37" s="115" t="s">
        <v>225</v>
      </c>
      <c r="B37" s="110">
        <v>13471238.32</v>
      </c>
      <c r="C37" s="111"/>
      <c r="D37" s="110">
        <v>19186950.12</v>
      </c>
      <c r="E37" s="110">
        <v>18609650.13</v>
      </c>
      <c r="F37" s="110">
        <v>14048538.31</v>
      </c>
      <c r="G37" s="111"/>
    </row>
    <row r="38" spans="1:7" ht="24" customHeight="1" outlineLevel="2">
      <c r="A38" s="115" t="s">
        <v>226</v>
      </c>
      <c r="B38" s="110">
        <v>15917854.4</v>
      </c>
      <c r="C38" s="111"/>
      <c r="D38" s="110">
        <v>18981355</v>
      </c>
      <c r="E38" s="110">
        <v>15348417</v>
      </c>
      <c r="F38" s="110">
        <v>19550792.4</v>
      </c>
      <c r="G38" s="111"/>
    </row>
    <row r="39" spans="1:7" ht="24" customHeight="1" outlineLevel="2">
      <c r="A39" s="115" t="s">
        <v>227</v>
      </c>
      <c r="B39" s="118">
        <v>-8641589.09</v>
      </c>
      <c r="C39" s="111"/>
      <c r="D39" s="111"/>
      <c r="E39" s="110">
        <v>1298091.7</v>
      </c>
      <c r="F39" s="118">
        <v>-9939680.79</v>
      </c>
      <c r="G39" s="111"/>
    </row>
    <row r="40" spans="1:7" ht="12" customHeight="1" outlineLevel="1">
      <c r="A40" s="109" t="s">
        <v>228</v>
      </c>
      <c r="B40" s="111"/>
      <c r="C40" s="111"/>
      <c r="D40" s="110">
        <v>1857002394</v>
      </c>
      <c r="E40" s="110">
        <v>1857002394</v>
      </c>
      <c r="F40" s="111"/>
      <c r="G40" s="111"/>
    </row>
    <row r="41" spans="1:7" ht="24" customHeight="1" outlineLevel="2">
      <c r="A41" s="115" t="s">
        <v>229</v>
      </c>
      <c r="B41" s="111"/>
      <c r="C41" s="111"/>
      <c r="D41" s="110">
        <v>1857002394</v>
      </c>
      <c r="E41" s="110">
        <v>1857002394</v>
      </c>
      <c r="F41" s="111"/>
      <c r="G41" s="111"/>
    </row>
    <row r="42" spans="1:7" ht="12" customHeight="1" outlineLevel="1">
      <c r="A42" s="109" t="s">
        <v>230</v>
      </c>
      <c r="B42" s="110">
        <v>43197.65</v>
      </c>
      <c r="C42" s="111"/>
      <c r="D42" s="110">
        <v>1375571.97</v>
      </c>
      <c r="E42" s="110">
        <v>1193007.23</v>
      </c>
      <c r="F42" s="110">
        <v>225762.39</v>
      </c>
      <c r="G42" s="111"/>
    </row>
    <row r="43" spans="1:7" ht="12" customHeight="1">
      <c r="A43" s="106" t="s">
        <v>231</v>
      </c>
      <c r="B43" s="333">
        <v>284516047.67</v>
      </c>
      <c r="C43" s="108"/>
      <c r="D43" s="333">
        <v>509061063.88</v>
      </c>
      <c r="E43" s="333">
        <v>702728402.84</v>
      </c>
      <c r="F43" s="333">
        <v>90848708.71</v>
      </c>
      <c r="G43" s="108"/>
    </row>
    <row r="44" spans="1:7" ht="24" customHeight="1" outlineLevel="1">
      <c r="A44" s="109" t="s">
        <v>232</v>
      </c>
      <c r="B44" s="110">
        <v>46123063.79</v>
      </c>
      <c r="C44" s="111"/>
      <c r="D44" s="110">
        <v>90228877</v>
      </c>
      <c r="E44" s="110">
        <v>45946131</v>
      </c>
      <c r="F44" s="110">
        <v>90405809.79</v>
      </c>
      <c r="G44" s="111"/>
    </row>
    <row r="45" spans="1:7" ht="24" customHeight="1" outlineLevel="1">
      <c r="A45" s="112" t="s">
        <v>233</v>
      </c>
      <c r="B45" s="113">
        <v>238253653.51</v>
      </c>
      <c r="C45" s="114"/>
      <c r="D45" s="113">
        <v>417378980.33</v>
      </c>
      <c r="E45" s="113">
        <v>655632633.84</v>
      </c>
      <c r="F45" s="114"/>
      <c r="G45" s="114"/>
    </row>
    <row r="46" spans="1:7" ht="24" customHeight="1" outlineLevel="2">
      <c r="A46" s="119" t="s">
        <v>233</v>
      </c>
      <c r="B46" s="113">
        <v>5743517.66</v>
      </c>
      <c r="C46" s="114"/>
      <c r="D46" s="114"/>
      <c r="E46" s="114"/>
      <c r="F46" s="113">
        <v>5743517.66</v>
      </c>
      <c r="G46" s="114"/>
    </row>
    <row r="47" spans="1:7" ht="24" customHeight="1" outlineLevel="2">
      <c r="A47" s="115" t="s">
        <v>234</v>
      </c>
      <c r="B47" s="110">
        <v>232510135.85</v>
      </c>
      <c r="C47" s="111"/>
      <c r="D47" s="110">
        <v>417378980.33</v>
      </c>
      <c r="E47" s="110">
        <v>655632633.84</v>
      </c>
      <c r="F47" s="118">
        <v>-5743517.66</v>
      </c>
      <c r="G47" s="111"/>
    </row>
    <row r="48" spans="1:7" ht="36" customHeight="1" outlineLevel="1">
      <c r="A48" s="109" t="s">
        <v>235</v>
      </c>
      <c r="B48" s="110">
        <v>139330.37</v>
      </c>
      <c r="C48" s="111"/>
      <c r="D48" s="110">
        <v>1453206.55</v>
      </c>
      <c r="E48" s="110">
        <v>1149638</v>
      </c>
      <c r="F48" s="110">
        <v>442898.92</v>
      </c>
      <c r="G48" s="111"/>
    </row>
    <row r="49" spans="1:7" ht="24" customHeight="1">
      <c r="A49" s="106" t="s">
        <v>236</v>
      </c>
      <c r="B49" s="333">
        <v>324325957.8</v>
      </c>
      <c r="C49" s="108"/>
      <c r="D49" s="333">
        <v>2993482415.74</v>
      </c>
      <c r="E49" s="333">
        <v>2621775021.7</v>
      </c>
      <c r="F49" s="333">
        <v>696033351.84</v>
      </c>
      <c r="G49" s="108"/>
    </row>
    <row r="50" spans="1:7" ht="24" customHeight="1" outlineLevel="1">
      <c r="A50" s="109" t="s">
        <v>237</v>
      </c>
      <c r="B50" s="110">
        <v>316240122.91</v>
      </c>
      <c r="C50" s="111"/>
      <c r="D50" s="110">
        <v>2971440757.74</v>
      </c>
      <c r="E50" s="110">
        <v>2608523164.28</v>
      </c>
      <c r="F50" s="110">
        <v>679157716.37</v>
      </c>
      <c r="G50" s="111"/>
    </row>
    <row r="51" spans="1:7" ht="24" customHeight="1" outlineLevel="2">
      <c r="A51" s="115" t="s">
        <v>237</v>
      </c>
      <c r="B51" s="111"/>
      <c r="C51" s="111"/>
      <c r="D51" s="110">
        <v>550965</v>
      </c>
      <c r="E51" s="111"/>
      <c r="F51" s="110">
        <v>550965</v>
      </c>
      <c r="G51" s="111"/>
    </row>
    <row r="52" spans="1:7" ht="58.5" customHeight="1" outlineLevel="2">
      <c r="A52" s="115" t="s">
        <v>238</v>
      </c>
      <c r="B52" s="110">
        <v>305345004.42</v>
      </c>
      <c r="C52" s="111"/>
      <c r="D52" s="110">
        <v>2883643636.9</v>
      </c>
      <c r="E52" s="110">
        <v>2521634367.79</v>
      </c>
      <c r="F52" s="110">
        <v>667354273.53</v>
      </c>
      <c r="G52" s="111"/>
    </row>
    <row r="53" spans="1:7" ht="58.5" customHeight="1" outlineLevel="2">
      <c r="A53" s="115" t="s">
        <v>239</v>
      </c>
      <c r="B53" s="110">
        <v>2461902.8</v>
      </c>
      <c r="C53" s="111"/>
      <c r="D53" s="110">
        <v>1779600</v>
      </c>
      <c r="E53" s="110">
        <v>1779600</v>
      </c>
      <c r="F53" s="110">
        <v>2461902.8</v>
      </c>
      <c r="G53" s="111"/>
    </row>
    <row r="54" spans="1:7" ht="58.5" customHeight="1" outlineLevel="2">
      <c r="A54" s="115" t="s">
        <v>240</v>
      </c>
      <c r="B54" s="110">
        <v>8433215.69</v>
      </c>
      <c r="C54" s="111"/>
      <c r="D54" s="110">
        <v>85466555.84</v>
      </c>
      <c r="E54" s="110">
        <v>85109196.49</v>
      </c>
      <c r="F54" s="110">
        <v>8790575.04</v>
      </c>
      <c r="G54" s="111"/>
    </row>
    <row r="55" spans="1:7" ht="24" customHeight="1" outlineLevel="1">
      <c r="A55" s="109" t="s">
        <v>241</v>
      </c>
      <c r="B55" s="110">
        <v>8085834.89</v>
      </c>
      <c r="C55" s="111"/>
      <c r="D55" s="110">
        <v>22041658</v>
      </c>
      <c r="E55" s="110">
        <v>13251857.42</v>
      </c>
      <c r="F55" s="110">
        <v>16875635.47</v>
      </c>
      <c r="G55" s="111"/>
    </row>
    <row r="56" spans="1:7" ht="24" customHeight="1">
      <c r="A56" s="106" t="s">
        <v>242</v>
      </c>
      <c r="B56" s="333">
        <v>110193231.46</v>
      </c>
      <c r="C56" s="108"/>
      <c r="D56" s="333">
        <v>25806365.76</v>
      </c>
      <c r="E56" s="333">
        <v>40999138.15</v>
      </c>
      <c r="F56" s="333">
        <v>95000459.07</v>
      </c>
      <c r="G56" s="108"/>
    </row>
    <row r="57" spans="1:7" ht="24" customHeight="1" outlineLevel="1">
      <c r="A57" s="109" t="s">
        <v>243</v>
      </c>
      <c r="B57" s="110">
        <v>110193231.46</v>
      </c>
      <c r="C57" s="111"/>
      <c r="D57" s="110">
        <v>25806365.76</v>
      </c>
      <c r="E57" s="110">
        <v>40999138.15</v>
      </c>
      <c r="F57" s="110">
        <v>95000459.07</v>
      </c>
      <c r="G57" s="111"/>
    </row>
    <row r="58" spans="1:7" ht="24" customHeight="1" outlineLevel="2">
      <c r="A58" s="115" t="s">
        <v>244</v>
      </c>
      <c r="B58" s="110">
        <v>110193231.46</v>
      </c>
      <c r="C58" s="111"/>
      <c r="D58" s="110">
        <v>25806365.76</v>
      </c>
      <c r="E58" s="110">
        <v>40999138.15</v>
      </c>
      <c r="F58" s="110">
        <v>95000459.07</v>
      </c>
      <c r="G58" s="111"/>
    </row>
    <row r="59" spans="1:7" ht="12" customHeight="1">
      <c r="A59" s="106" t="s">
        <v>245</v>
      </c>
      <c r="B59" s="333">
        <v>22195987908.52</v>
      </c>
      <c r="C59" s="108"/>
      <c r="D59" s="333">
        <v>30643907</v>
      </c>
      <c r="E59" s="333">
        <v>952325378.4</v>
      </c>
      <c r="F59" s="333">
        <v>21274306437.12</v>
      </c>
      <c r="G59" s="108"/>
    </row>
    <row r="60" spans="1:7" ht="24" customHeight="1" outlineLevel="1">
      <c r="A60" s="112" t="s">
        <v>246</v>
      </c>
      <c r="B60" s="113">
        <v>115595496021.02</v>
      </c>
      <c r="C60" s="114"/>
      <c r="D60" s="113">
        <v>29878373</v>
      </c>
      <c r="E60" s="113">
        <v>2745857.4</v>
      </c>
      <c r="F60" s="113">
        <v>115622628536.62</v>
      </c>
      <c r="G60" s="114"/>
    </row>
    <row r="61" spans="1:7" ht="12" customHeight="1" outlineLevel="2">
      <c r="A61" s="115" t="s">
        <v>247</v>
      </c>
      <c r="B61" s="110">
        <v>1972608577.12</v>
      </c>
      <c r="C61" s="111"/>
      <c r="D61" s="110">
        <v>1800000</v>
      </c>
      <c r="E61" s="111"/>
      <c r="F61" s="110">
        <v>1974408577.12</v>
      </c>
      <c r="G61" s="111"/>
    </row>
    <row r="62" spans="1:7" ht="24" customHeight="1" outlineLevel="2">
      <c r="A62" s="115" t="s">
        <v>248</v>
      </c>
      <c r="B62" s="110">
        <v>113053963683.3</v>
      </c>
      <c r="C62" s="111"/>
      <c r="D62" s="110">
        <v>9519923</v>
      </c>
      <c r="E62" s="110">
        <v>2745857.4</v>
      </c>
      <c r="F62" s="110">
        <v>113060737748.9</v>
      </c>
      <c r="G62" s="111"/>
    </row>
    <row r="63" spans="1:7" ht="12" customHeight="1" outlineLevel="2">
      <c r="A63" s="115" t="s">
        <v>249</v>
      </c>
      <c r="B63" s="110">
        <v>364394962.88</v>
      </c>
      <c r="C63" s="111"/>
      <c r="D63" s="111"/>
      <c r="E63" s="111"/>
      <c r="F63" s="110">
        <v>364394962.88</v>
      </c>
      <c r="G63" s="111"/>
    </row>
    <row r="64" spans="1:7" ht="12" customHeight="1" outlineLevel="2">
      <c r="A64" s="115" t="s">
        <v>250</v>
      </c>
      <c r="B64" s="110">
        <v>204528797.72</v>
      </c>
      <c r="C64" s="111"/>
      <c r="D64" s="110">
        <v>18558450</v>
      </c>
      <c r="E64" s="111"/>
      <c r="F64" s="110">
        <v>223087247.72</v>
      </c>
      <c r="G64" s="111"/>
    </row>
    <row r="65" spans="1:7" ht="24" customHeight="1" outlineLevel="1">
      <c r="A65" s="112" t="s">
        <v>251</v>
      </c>
      <c r="B65" s="114"/>
      <c r="C65" s="113">
        <v>93399508112.5</v>
      </c>
      <c r="D65" s="113">
        <v>765534</v>
      </c>
      <c r="E65" s="113">
        <v>949579521</v>
      </c>
      <c r="F65" s="114"/>
      <c r="G65" s="113">
        <v>94348322099.5</v>
      </c>
    </row>
    <row r="66" spans="1:7" ht="24" customHeight="1" outlineLevel="2">
      <c r="A66" s="115" t="s">
        <v>252</v>
      </c>
      <c r="B66" s="111"/>
      <c r="C66" s="110">
        <v>1108046464.26</v>
      </c>
      <c r="D66" s="111"/>
      <c r="E66" s="110">
        <v>30849207</v>
      </c>
      <c r="F66" s="111"/>
      <c r="G66" s="110">
        <v>1138895671.26</v>
      </c>
    </row>
    <row r="67" spans="1:7" ht="36" customHeight="1" outlineLevel="2">
      <c r="A67" s="115" t="s">
        <v>253</v>
      </c>
      <c r="B67" s="111"/>
      <c r="C67" s="110">
        <v>92061093151.36</v>
      </c>
      <c r="D67" s="110">
        <v>765534</v>
      </c>
      <c r="E67" s="110">
        <v>866551566</v>
      </c>
      <c r="F67" s="111"/>
      <c r="G67" s="110">
        <v>92926879183.36</v>
      </c>
    </row>
    <row r="68" spans="1:7" ht="24" customHeight="1" outlineLevel="2">
      <c r="A68" s="115" t="s">
        <v>254</v>
      </c>
      <c r="B68" s="111"/>
      <c r="C68" s="110">
        <v>149088179.92</v>
      </c>
      <c r="D68" s="111"/>
      <c r="E68" s="110">
        <v>30623766</v>
      </c>
      <c r="F68" s="111"/>
      <c r="G68" s="110">
        <v>179711945.92</v>
      </c>
    </row>
    <row r="69" spans="1:7" ht="24" customHeight="1" outlineLevel="2">
      <c r="A69" s="115" t="s">
        <v>255</v>
      </c>
      <c r="B69" s="111"/>
      <c r="C69" s="110">
        <v>81280316.96</v>
      </c>
      <c r="D69" s="111"/>
      <c r="E69" s="110">
        <v>21554982</v>
      </c>
      <c r="F69" s="111"/>
      <c r="G69" s="110">
        <v>102835298.96</v>
      </c>
    </row>
    <row r="70" spans="1:7" ht="12" customHeight="1">
      <c r="A70" s="106" t="s">
        <v>256</v>
      </c>
      <c r="B70" s="333">
        <v>109033556.93</v>
      </c>
      <c r="C70" s="108"/>
      <c r="D70" s="333">
        <v>4159216</v>
      </c>
      <c r="E70" s="333">
        <v>16745285.85</v>
      </c>
      <c r="F70" s="333">
        <v>96447487.08</v>
      </c>
      <c r="G70" s="108"/>
    </row>
    <row r="71" spans="1:7" ht="24" customHeight="1" outlineLevel="1">
      <c r="A71" s="112" t="s">
        <v>257</v>
      </c>
      <c r="B71" s="113">
        <v>150499913.18</v>
      </c>
      <c r="C71" s="114"/>
      <c r="D71" s="113">
        <v>4159216</v>
      </c>
      <c r="E71" s="114"/>
      <c r="F71" s="113">
        <v>154659129.18</v>
      </c>
      <c r="G71" s="114"/>
    </row>
    <row r="72" spans="1:7" ht="24" customHeight="1" outlineLevel="2">
      <c r="A72" s="115" t="s">
        <v>258</v>
      </c>
      <c r="B72" s="110">
        <v>140333862.78</v>
      </c>
      <c r="C72" s="111"/>
      <c r="D72" s="110">
        <v>396000</v>
      </c>
      <c r="E72" s="111"/>
      <c r="F72" s="110">
        <v>140729862.78</v>
      </c>
      <c r="G72" s="111"/>
    </row>
    <row r="73" spans="1:7" ht="12" customHeight="1" outlineLevel="2">
      <c r="A73" s="115" t="s">
        <v>259</v>
      </c>
      <c r="B73" s="110">
        <v>4272845.04</v>
      </c>
      <c r="C73" s="111"/>
      <c r="D73" s="110">
        <v>3763216</v>
      </c>
      <c r="E73" s="111"/>
      <c r="F73" s="110">
        <v>8036061.04</v>
      </c>
      <c r="G73" s="111"/>
    </row>
    <row r="74" spans="1:7" ht="24" customHeight="1" outlineLevel="2">
      <c r="A74" s="115" t="s">
        <v>260</v>
      </c>
      <c r="B74" s="110">
        <v>5893205.36</v>
      </c>
      <c r="C74" s="111"/>
      <c r="D74" s="111"/>
      <c r="E74" s="111"/>
      <c r="F74" s="110">
        <v>5893205.36</v>
      </c>
      <c r="G74" s="111"/>
    </row>
    <row r="75" spans="1:7" ht="24" customHeight="1" outlineLevel="1">
      <c r="A75" s="112" t="s">
        <v>261</v>
      </c>
      <c r="B75" s="114"/>
      <c r="C75" s="113">
        <v>41466356.25</v>
      </c>
      <c r="D75" s="114"/>
      <c r="E75" s="113">
        <v>16745285.85</v>
      </c>
      <c r="F75" s="114"/>
      <c r="G75" s="113">
        <v>58211642.1</v>
      </c>
    </row>
    <row r="76" spans="1:7" ht="24" customHeight="1" outlineLevel="2">
      <c r="A76" s="115" t="s">
        <v>262</v>
      </c>
      <c r="B76" s="111"/>
      <c r="C76" s="110">
        <v>37567691.25</v>
      </c>
      <c r="D76" s="111"/>
      <c r="E76" s="110">
        <v>15603876.24</v>
      </c>
      <c r="F76" s="111"/>
      <c r="G76" s="110">
        <v>53171567.49</v>
      </c>
    </row>
    <row r="77" spans="1:7" ht="24" customHeight="1" outlineLevel="2">
      <c r="A77" s="115" t="s">
        <v>263</v>
      </c>
      <c r="B77" s="111"/>
      <c r="C77" s="110">
        <v>1217088</v>
      </c>
      <c r="D77" s="111"/>
      <c r="E77" s="110">
        <v>478424.16</v>
      </c>
      <c r="F77" s="111"/>
      <c r="G77" s="110">
        <v>1695512.16</v>
      </c>
    </row>
    <row r="78" spans="1:7" ht="24" customHeight="1" outlineLevel="2">
      <c r="A78" s="115" t="s">
        <v>264</v>
      </c>
      <c r="B78" s="111"/>
      <c r="C78" s="110">
        <v>2681577</v>
      </c>
      <c r="D78" s="111"/>
      <c r="E78" s="110">
        <v>662985.45</v>
      </c>
      <c r="F78" s="111"/>
      <c r="G78" s="110">
        <v>3344562.45</v>
      </c>
    </row>
    <row r="79" spans="1:7" ht="24" customHeight="1">
      <c r="A79" s="106" t="s">
        <v>265</v>
      </c>
      <c r="B79" s="333">
        <v>309258710.53</v>
      </c>
      <c r="C79" s="108"/>
      <c r="D79" s="333">
        <v>626475037.38</v>
      </c>
      <c r="E79" s="108"/>
      <c r="F79" s="333">
        <v>935733747.91</v>
      </c>
      <c r="G79" s="108"/>
    </row>
    <row r="80" spans="1:7" ht="24" customHeight="1" outlineLevel="1">
      <c r="A80" s="109" t="s">
        <v>590</v>
      </c>
      <c r="B80" s="111"/>
      <c r="C80" s="111"/>
      <c r="D80" s="110">
        <v>36120000</v>
      </c>
      <c r="E80" s="111"/>
      <c r="F80" s="110">
        <v>36120000</v>
      </c>
      <c r="G80" s="111"/>
    </row>
    <row r="81" spans="1:7" ht="36" customHeight="1" outlineLevel="2">
      <c r="A81" s="115" t="s">
        <v>649</v>
      </c>
      <c r="B81" s="111"/>
      <c r="C81" s="111"/>
      <c r="D81" s="110">
        <v>36120000</v>
      </c>
      <c r="E81" s="111"/>
      <c r="F81" s="110">
        <v>36120000</v>
      </c>
      <c r="G81" s="111"/>
    </row>
    <row r="82" spans="1:7" ht="24" customHeight="1" outlineLevel="1">
      <c r="A82" s="109" t="s">
        <v>266</v>
      </c>
      <c r="B82" s="110">
        <v>309258710.53</v>
      </c>
      <c r="C82" s="111"/>
      <c r="D82" s="110">
        <v>590355037.38</v>
      </c>
      <c r="E82" s="111"/>
      <c r="F82" s="110">
        <v>899613747.91</v>
      </c>
      <c r="G82" s="111"/>
    </row>
    <row r="83" spans="1:7" ht="24" customHeight="1" outlineLevel="2">
      <c r="A83" s="115" t="s">
        <v>267</v>
      </c>
      <c r="B83" s="110">
        <v>309258710.53</v>
      </c>
      <c r="C83" s="111"/>
      <c r="D83" s="110">
        <v>590355037.38</v>
      </c>
      <c r="E83" s="111"/>
      <c r="F83" s="110">
        <v>899613747.91</v>
      </c>
      <c r="G83" s="111"/>
    </row>
    <row r="84" spans="1:7" ht="24" customHeight="1">
      <c r="A84" s="106" t="s">
        <v>268</v>
      </c>
      <c r="B84" s="108"/>
      <c r="C84" s="333">
        <v>1019124171.36</v>
      </c>
      <c r="D84" s="333">
        <v>2272535519.19</v>
      </c>
      <c r="E84" s="333">
        <v>1418524724.49</v>
      </c>
      <c r="F84" s="108"/>
      <c r="G84" s="333">
        <v>165113376.66</v>
      </c>
    </row>
    <row r="85" spans="1:7" ht="48" customHeight="1" outlineLevel="1">
      <c r="A85" s="109" t="s">
        <v>269</v>
      </c>
      <c r="B85" s="111"/>
      <c r="C85" s="110">
        <v>20142102.14</v>
      </c>
      <c r="D85" s="110">
        <v>434537849.91</v>
      </c>
      <c r="E85" s="110">
        <v>428741224.5</v>
      </c>
      <c r="F85" s="111"/>
      <c r="G85" s="110">
        <v>14345476.73</v>
      </c>
    </row>
    <row r="86" spans="1:7" ht="24" customHeight="1" outlineLevel="2">
      <c r="A86" s="115" t="s">
        <v>270</v>
      </c>
      <c r="B86" s="111"/>
      <c r="C86" s="110">
        <v>9366008.67</v>
      </c>
      <c r="D86" s="110">
        <v>428420000</v>
      </c>
      <c r="E86" s="110">
        <v>428420000</v>
      </c>
      <c r="F86" s="111"/>
      <c r="G86" s="110">
        <v>9366008.67</v>
      </c>
    </row>
    <row r="87" spans="1:7" ht="24" customHeight="1" outlineLevel="2">
      <c r="A87" s="115" t="s">
        <v>271</v>
      </c>
      <c r="B87" s="111"/>
      <c r="C87" s="110">
        <v>10776093.47</v>
      </c>
      <c r="D87" s="110">
        <v>6117849.91</v>
      </c>
      <c r="E87" s="110">
        <v>321224.5</v>
      </c>
      <c r="F87" s="111"/>
      <c r="G87" s="110">
        <v>4979468.06</v>
      </c>
    </row>
    <row r="88" spans="1:7" ht="36" customHeight="1" outlineLevel="1">
      <c r="A88" s="112" t="s">
        <v>272</v>
      </c>
      <c r="B88" s="114"/>
      <c r="C88" s="113">
        <v>998982069.22</v>
      </c>
      <c r="D88" s="113">
        <v>1837997669.28</v>
      </c>
      <c r="E88" s="113">
        <v>989783499.99</v>
      </c>
      <c r="F88" s="114"/>
      <c r="G88" s="113">
        <v>150767899.93</v>
      </c>
    </row>
    <row r="89" spans="1:7" ht="36" customHeight="1" outlineLevel="2">
      <c r="A89" s="119" t="s">
        <v>272</v>
      </c>
      <c r="B89" s="114"/>
      <c r="C89" s="113">
        <v>2383127.64</v>
      </c>
      <c r="D89" s="113">
        <v>2383127.64</v>
      </c>
      <c r="E89" s="114"/>
      <c r="F89" s="114"/>
      <c r="G89" s="114"/>
    </row>
    <row r="90" spans="1:7" ht="24" customHeight="1" outlineLevel="2">
      <c r="A90" s="115" t="s">
        <v>364</v>
      </c>
      <c r="B90" s="111"/>
      <c r="C90" s="110">
        <v>996598941.58</v>
      </c>
      <c r="D90" s="110">
        <v>1835614541.64</v>
      </c>
      <c r="E90" s="110">
        <v>989783499.99</v>
      </c>
      <c r="F90" s="111"/>
      <c r="G90" s="110">
        <v>150767899.93</v>
      </c>
    </row>
    <row r="91" spans="1:7" ht="12" customHeight="1">
      <c r="A91" s="106" t="s">
        <v>273</v>
      </c>
      <c r="B91" s="108"/>
      <c r="C91" s="333">
        <v>3747580.45</v>
      </c>
      <c r="D91" s="333">
        <v>1230226988.84</v>
      </c>
      <c r="E91" s="333">
        <v>1352305878.96</v>
      </c>
      <c r="F91" s="108"/>
      <c r="G91" s="333">
        <v>125826470.57</v>
      </c>
    </row>
    <row r="92" spans="1:7" ht="36" customHeight="1" outlineLevel="1">
      <c r="A92" s="109" t="s">
        <v>274</v>
      </c>
      <c r="B92" s="111"/>
      <c r="C92" s="111"/>
      <c r="D92" s="110">
        <v>230496820</v>
      </c>
      <c r="E92" s="110">
        <v>230496820</v>
      </c>
      <c r="F92" s="111"/>
      <c r="G92" s="111"/>
    </row>
    <row r="93" spans="1:7" ht="24" customHeight="1" outlineLevel="1">
      <c r="A93" s="109" t="s">
        <v>275</v>
      </c>
      <c r="B93" s="111"/>
      <c r="C93" s="110">
        <v>963140</v>
      </c>
      <c r="D93" s="110">
        <v>63382200.6</v>
      </c>
      <c r="E93" s="110">
        <v>69482640.6</v>
      </c>
      <c r="F93" s="111"/>
      <c r="G93" s="110">
        <v>7063580</v>
      </c>
    </row>
    <row r="94" spans="1:7" ht="24" customHeight="1" outlineLevel="1">
      <c r="A94" s="109" t="s">
        <v>276</v>
      </c>
      <c r="B94" s="111"/>
      <c r="C94" s="111"/>
      <c r="D94" s="110">
        <v>655632633.84</v>
      </c>
      <c r="E94" s="110">
        <v>768638969.41</v>
      </c>
      <c r="F94" s="111"/>
      <c r="G94" s="110">
        <v>113006335.57</v>
      </c>
    </row>
    <row r="95" spans="1:7" ht="12" customHeight="1" outlineLevel="1">
      <c r="A95" s="109" t="s">
        <v>277</v>
      </c>
      <c r="B95" s="111"/>
      <c r="C95" s="110">
        <v>1389288</v>
      </c>
      <c r="D95" s="110">
        <v>52088195</v>
      </c>
      <c r="E95" s="110">
        <v>56455462</v>
      </c>
      <c r="F95" s="111"/>
      <c r="G95" s="110">
        <v>5756555</v>
      </c>
    </row>
    <row r="96" spans="1:7" ht="12" customHeight="1" outlineLevel="1">
      <c r="A96" s="109" t="s">
        <v>278</v>
      </c>
      <c r="B96" s="111"/>
      <c r="C96" s="111"/>
      <c r="D96" s="110">
        <v>4016972</v>
      </c>
      <c r="E96" s="110">
        <v>4016972</v>
      </c>
      <c r="F96" s="111"/>
      <c r="G96" s="111"/>
    </row>
    <row r="97" spans="1:7" ht="24" customHeight="1" outlineLevel="1">
      <c r="A97" s="109" t="s">
        <v>279</v>
      </c>
      <c r="B97" s="111"/>
      <c r="C97" s="110">
        <v>4327</v>
      </c>
      <c r="D97" s="110">
        <v>1617607</v>
      </c>
      <c r="E97" s="110">
        <v>1613280</v>
      </c>
      <c r="F97" s="111"/>
      <c r="G97" s="111"/>
    </row>
    <row r="98" spans="1:7" ht="12" customHeight="1" outlineLevel="1">
      <c r="A98" s="109" t="s">
        <v>280</v>
      </c>
      <c r="B98" s="111"/>
      <c r="C98" s="110">
        <v>1390825.45</v>
      </c>
      <c r="D98" s="110">
        <v>221467573</v>
      </c>
      <c r="E98" s="110">
        <v>220076747.55</v>
      </c>
      <c r="F98" s="111"/>
      <c r="G98" s="111"/>
    </row>
    <row r="99" spans="1:7" ht="12" customHeight="1" outlineLevel="1">
      <c r="A99" s="109" t="s">
        <v>281</v>
      </c>
      <c r="B99" s="111"/>
      <c r="C99" s="111"/>
      <c r="D99" s="110">
        <v>1524987.4</v>
      </c>
      <c r="E99" s="110">
        <v>1524987.4</v>
      </c>
      <c r="F99" s="111"/>
      <c r="G99" s="111"/>
    </row>
    <row r="100" spans="1:7" ht="36" customHeight="1">
      <c r="A100" s="106" t="s">
        <v>282</v>
      </c>
      <c r="B100" s="108"/>
      <c r="C100" s="333">
        <v>23092639.2</v>
      </c>
      <c r="D100" s="333">
        <v>126298031.02</v>
      </c>
      <c r="E100" s="333">
        <v>118013761.47</v>
      </c>
      <c r="F100" s="108"/>
      <c r="G100" s="333">
        <v>14808369.65</v>
      </c>
    </row>
    <row r="101" spans="1:7" ht="24" customHeight="1" outlineLevel="1">
      <c r="A101" s="109" t="s">
        <v>283</v>
      </c>
      <c r="B101" s="111"/>
      <c r="C101" s="110">
        <v>5123294.09</v>
      </c>
      <c r="D101" s="110">
        <v>34052092.09</v>
      </c>
      <c r="E101" s="110">
        <v>32626762.54</v>
      </c>
      <c r="F101" s="111"/>
      <c r="G101" s="110">
        <v>3697964.54</v>
      </c>
    </row>
    <row r="102" spans="1:7" ht="24" customHeight="1" outlineLevel="1">
      <c r="A102" s="109" t="s">
        <v>284</v>
      </c>
      <c r="B102" s="111"/>
      <c r="C102" s="110">
        <v>17969345.11</v>
      </c>
      <c r="D102" s="110">
        <v>92245938.93</v>
      </c>
      <c r="E102" s="110">
        <v>85386998.93</v>
      </c>
      <c r="F102" s="111"/>
      <c r="G102" s="110">
        <v>11110405.11</v>
      </c>
    </row>
    <row r="103" spans="1:7" ht="24" customHeight="1">
      <c r="A103" s="106" t="s">
        <v>285</v>
      </c>
      <c r="B103" s="108"/>
      <c r="C103" s="333">
        <v>2282985925.42</v>
      </c>
      <c r="D103" s="333">
        <v>7480772502.02</v>
      </c>
      <c r="E103" s="333">
        <v>5972679533.78</v>
      </c>
      <c r="F103" s="108"/>
      <c r="G103" s="333">
        <v>774892957.18</v>
      </c>
    </row>
    <row r="104" spans="1:7" ht="36" customHeight="1" outlineLevel="1">
      <c r="A104" s="112" t="s">
        <v>286</v>
      </c>
      <c r="B104" s="114"/>
      <c r="C104" s="113">
        <v>2119618722.12</v>
      </c>
      <c r="D104" s="113">
        <v>6220121131.43</v>
      </c>
      <c r="E104" s="113">
        <v>4688953149.289999</v>
      </c>
      <c r="F104" s="114"/>
      <c r="G104" s="113">
        <v>588450739.98</v>
      </c>
    </row>
    <row r="105" spans="1:7" ht="36" customHeight="1" outlineLevel="2">
      <c r="A105" s="115" t="s">
        <v>287</v>
      </c>
      <c r="B105" s="111"/>
      <c r="C105" s="110">
        <v>29067852.25</v>
      </c>
      <c r="D105" s="110">
        <v>477216043.36</v>
      </c>
      <c r="E105" s="110">
        <v>467599958.49</v>
      </c>
      <c r="F105" s="111"/>
      <c r="G105" s="110">
        <v>19451767.38</v>
      </c>
    </row>
    <row r="106" spans="1:7" ht="36" customHeight="1" outlineLevel="2">
      <c r="A106" s="115" t="s">
        <v>288</v>
      </c>
      <c r="B106" s="111"/>
      <c r="C106" s="110">
        <v>1949796152.84</v>
      </c>
      <c r="D106" s="110">
        <v>2107601451.77</v>
      </c>
      <c r="E106" s="110">
        <v>418597886.95</v>
      </c>
      <c r="F106" s="111"/>
      <c r="G106" s="110">
        <v>260792588.02</v>
      </c>
    </row>
    <row r="107" spans="1:7" ht="36" customHeight="1" outlineLevel="2">
      <c r="A107" s="115" t="s">
        <v>289</v>
      </c>
      <c r="B107" s="111"/>
      <c r="C107" s="110">
        <v>140754717.03</v>
      </c>
      <c r="D107" s="110">
        <v>3635303636.3</v>
      </c>
      <c r="E107" s="110">
        <v>3802755303.85</v>
      </c>
      <c r="F107" s="111"/>
      <c r="G107" s="110">
        <v>308206384.58</v>
      </c>
    </row>
    <row r="108" spans="1:7" ht="24" customHeight="1" outlineLevel="1">
      <c r="A108" s="109" t="s">
        <v>290</v>
      </c>
      <c r="B108" s="111"/>
      <c r="C108" s="110">
        <v>38815311.82</v>
      </c>
      <c r="D108" s="110">
        <v>929866576.83</v>
      </c>
      <c r="E108" s="110">
        <v>948894878.9</v>
      </c>
      <c r="F108" s="111"/>
      <c r="G108" s="110">
        <v>57843613.89</v>
      </c>
    </row>
    <row r="109" spans="1:7" ht="24" customHeight="1" outlineLevel="1">
      <c r="A109" s="109" t="s">
        <v>291</v>
      </c>
      <c r="B109" s="111"/>
      <c r="C109" s="110">
        <v>78368792.12</v>
      </c>
      <c r="D109" s="110">
        <v>180588974.45</v>
      </c>
      <c r="E109" s="110">
        <v>195475352</v>
      </c>
      <c r="F109" s="111"/>
      <c r="G109" s="110">
        <v>93255169.67</v>
      </c>
    </row>
    <row r="110" spans="1:7" ht="24" customHeight="1" outlineLevel="2">
      <c r="A110" s="115" t="s">
        <v>360</v>
      </c>
      <c r="B110" s="111"/>
      <c r="C110" s="110">
        <v>78368792.12</v>
      </c>
      <c r="D110" s="110">
        <v>180588974.45</v>
      </c>
      <c r="E110" s="110">
        <v>195475352</v>
      </c>
      <c r="F110" s="111"/>
      <c r="G110" s="110">
        <v>93255169.67</v>
      </c>
    </row>
    <row r="111" spans="1:7" ht="24" customHeight="1" outlineLevel="1">
      <c r="A111" s="112" t="s">
        <v>292</v>
      </c>
      <c r="B111" s="114"/>
      <c r="C111" s="113">
        <v>46183099.36</v>
      </c>
      <c r="D111" s="113">
        <v>150195819.31</v>
      </c>
      <c r="E111" s="113">
        <v>139356153.59</v>
      </c>
      <c r="F111" s="114"/>
      <c r="G111" s="113">
        <v>35343433.64</v>
      </c>
    </row>
    <row r="112" spans="1:7" ht="36" customHeight="1" outlineLevel="2">
      <c r="A112" s="115" t="s">
        <v>293</v>
      </c>
      <c r="B112" s="111"/>
      <c r="C112" s="110">
        <v>2421554.84</v>
      </c>
      <c r="D112" s="110">
        <v>3369905.25</v>
      </c>
      <c r="E112" s="110">
        <v>3079364.3</v>
      </c>
      <c r="F112" s="111"/>
      <c r="G112" s="110">
        <v>2131013.89</v>
      </c>
    </row>
    <row r="113" spans="1:7" ht="24" customHeight="1" outlineLevel="2">
      <c r="A113" s="115" t="s">
        <v>294</v>
      </c>
      <c r="B113" s="111"/>
      <c r="C113" s="110">
        <v>1275220</v>
      </c>
      <c r="D113" s="110">
        <v>9655818</v>
      </c>
      <c r="E113" s="110">
        <v>8853375</v>
      </c>
      <c r="F113" s="111"/>
      <c r="G113" s="110">
        <v>472777</v>
      </c>
    </row>
    <row r="114" spans="1:7" ht="24" customHeight="1" outlineLevel="2">
      <c r="A114" s="115" t="s">
        <v>295</v>
      </c>
      <c r="B114" s="111"/>
      <c r="C114" s="110">
        <v>653962</v>
      </c>
      <c r="D114" s="110">
        <v>8903860.97</v>
      </c>
      <c r="E114" s="110">
        <v>8994940.57</v>
      </c>
      <c r="F114" s="111"/>
      <c r="G114" s="110">
        <v>745041.6</v>
      </c>
    </row>
    <row r="115" spans="1:7" ht="24" customHeight="1" outlineLevel="2">
      <c r="A115" s="115" t="s">
        <v>296</v>
      </c>
      <c r="B115" s="111"/>
      <c r="C115" s="110">
        <v>39028331.16</v>
      </c>
      <c r="D115" s="110">
        <v>110060461.09</v>
      </c>
      <c r="E115" s="110">
        <v>100699847.62</v>
      </c>
      <c r="F115" s="111"/>
      <c r="G115" s="110">
        <v>29667717.69</v>
      </c>
    </row>
    <row r="116" spans="1:7" ht="24" customHeight="1" outlineLevel="2">
      <c r="A116" s="115" t="s">
        <v>297</v>
      </c>
      <c r="B116" s="111"/>
      <c r="C116" s="110">
        <v>2118998.36</v>
      </c>
      <c r="D116" s="110">
        <v>15573780</v>
      </c>
      <c r="E116" s="110">
        <v>15129463.1</v>
      </c>
      <c r="F116" s="111"/>
      <c r="G116" s="110">
        <v>1674681.46</v>
      </c>
    </row>
    <row r="117" spans="1:7" ht="24" customHeight="1" outlineLevel="2">
      <c r="A117" s="115" t="s">
        <v>298</v>
      </c>
      <c r="B117" s="111"/>
      <c r="C117" s="110">
        <v>685033</v>
      </c>
      <c r="D117" s="110">
        <v>2631994</v>
      </c>
      <c r="E117" s="110">
        <v>2599163</v>
      </c>
      <c r="F117" s="111"/>
      <c r="G117" s="110">
        <v>652202</v>
      </c>
    </row>
    <row r="118" spans="1:7" ht="24" customHeight="1">
      <c r="A118" s="106" t="s">
        <v>299</v>
      </c>
      <c r="B118" s="108"/>
      <c r="C118" s="333">
        <v>112982721</v>
      </c>
      <c r="D118" s="108"/>
      <c r="E118" s="333">
        <v>1131172</v>
      </c>
      <c r="F118" s="108"/>
      <c r="G118" s="333">
        <v>114113893</v>
      </c>
    </row>
    <row r="119" spans="1:7" ht="36" customHeight="1" outlineLevel="1">
      <c r="A119" s="109" t="s">
        <v>300</v>
      </c>
      <c r="B119" s="111"/>
      <c r="C119" s="110">
        <v>112982721</v>
      </c>
      <c r="D119" s="111"/>
      <c r="E119" s="110">
        <v>1131172</v>
      </c>
      <c r="F119" s="111"/>
      <c r="G119" s="110">
        <v>114113893</v>
      </c>
    </row>
    <row r="120" spans="1:7" ht="36" customHeight="1" outlineLevel="2">
      <c r="A120" s="115" t="s">
        <v>361</v>
      </c>
      <c r="B120" s="111"/>
      <c r="C120" s="110">
        <v>112982721</v>
      </c>
      <c r="D120" s="111"/>
      <c r="E120" s="110">
        <v>1131172</v>
      </c>
      <c r="F120" s="111"/>
      <c r="G120" s="110">
        <v>114113893</v>
      </c>
    </row>
    <row r="121" spans="1:7" ht="24" customHeight="1">
      <c r="A121" s="106" t="s">
        <v>301</v>
      </c>
      <c r="B121" s="108"/>
      <c r="C121" s="333">
        <v>692541251.43</v>
      </c>
      <c r="D121" s="333">
        <v>6324494442.099999</v>
      </c>
      <c r="E121" s="333">
        <v>6432355674.68</v>
      </c>
      <c r="F121" s="108"/>
      <c r="G121" s="333">
        <v>800402484.01</v>
      </c>
    </row>
    <row r="122" spans="1:7" ht="24" customHeight="1" outlineLevel="1">
      <c r="A122" s="109" t="s">
        <v>302</v>
      </c>
      <c r="B122" s="111"/>
      <c r="C122" s="110">
        <v>692541251.43</v>
      </c>
      <c r="D122" s="110">
        <v>6324494442.099999</v>
      </c>
      <c r="E122" s="110">
        <v>6432355674.68</v>
      </c>
      <c r="F122" s="111"/>
      <c r="G122" s="110">
        <v>800402484.01</v>
      </c>
    </row>
    <row r="123" spans="1:7" ht="24" customHeight="1" outlineLevel="2">
      <c r="A123" s="115" t="s">
        <v>302</v>
      </c>
      <c r="B123" s="111"/>
      <c r="C123" s="110">
        <v>20000</v>
      </c>
      <c r="D123" s="111"/>
      <c r="E123" s="111"/>
      <c r="F123" s="111"/>
      <c r="G123" s="110">
        <v>20000</v>
      </c>
    </row>
    <row r="124" spans="1:7" ht="48" customHeight="1" outlineLevel="2">
      <c r="A124" s="115" t="s">
        <v>303</v>
      </c>
      <c r="B124" s="111"/>
      <c r="C124" s="110">
        <v>666969945.83</v>
      </c>
      <c r="D124" s="110">
        <v>6168962935.64</v>
      </c>
      <c r="E124" s="110">
        <v>6266730218.43</v>
      </c>
      <c r="F124" s="111"/>
      <c r="G124" s="110">
        <v>764737228.62</v>
      </c>
    </row>
    <row r="125" spans="1:7" ht="12" customHeight="1" outlineLevel="2">
      <c r="A125" s="115" t="s">
        <v>304</v>
      </c>
      <c r="B125" s="111"/>
      <c r="C125" s="110">
        <v>25551305.6</v>
      </c>
      <c r="D125" s="110">
        <v>155531506.46</v>
      </c>
      <c r="E125" s="110">
        <v>165625456.25</v>
      </c>
      <c r="F125" s="111"/>
      <c r="G125" s="110">
        <v>35645255.39</v>
      </c>
    </row>
    <row r="126" spans="1:7" ht="24" customHeight="1">
      <c r="A126" s="106" t="s">
        <v>305</v>
      </c>
      <c r="B126" s="108"/>
      <c r="C126" s="333">
        <v>3970838197.16</v>
      </c>
      <c r="D126" s="333">
        <v>2859862878.52</v>
      </c>
      <c r="E126" s="333">
        <v>5188259722.4</v>
      </c>
      <c r="F126" s="108"/>
      <c r="G126" s="333">
        <v>6299235041.039999</v>
      </c>
    </row>
    <row r="127" spans="1:7" ht="58.5" customHeight="1" outlineLevel="1">
      <c r="A127" s="109" t="s">
        <v>306</v>
      </c>
      <c r="B127" s="111"/>
      <c r="C127" s="110">
        <v>2262679428.15</v>
      </c>
      <c r="D127" s="110">
        <v>2711479222.4</v>
      </c>
      <c r="E127" s="110">
        <v>5090222426</v>
      </c>
      <c r="F127" s="111"/>
      <c r="G127" s="110">
        <v>4641422631.750001</v>
      </c>
    </row>
    <row r="128" spans="1:7" ht="24" customHeight="1" outlineLevel="2">
      <c r="A128" s="115" t="s">
        <v>307</v>
      </c>
      <c r="B128" s="111"/>
      <c r="C128" s="110">
        <v>582679428.15</v>
      </c>
      <c r="D128" s="110">
        <v>604729222.4</v>
      </c>
      <c r="E128" s="110">
        <v>611252426</v>
      </c>
      <c r="F128" s="111"/>
      <c r="G128" s="110">
        <v>589202631.75</v>
      </c>
    </row>
    <row r="129" spans="1:7" ht="12" customHeight="1" outlineLevel="2">
      <c r="A129" s="115" t="s">
        <v>308</v>
      </c>
      <c r="B129" s="111"/>
      <c r="C129" s="110">
        <v>1680000000</v>
      </c>
      <c r="D129" s="110">
        <v>2106750000</v>
      </c>
      <c r="E129" s="110">
        <v>4478970000</v>
      </c>
      <c r="F129" s="111"/>
      <c r="G129" s="110">
        <v>4052220000</v>
      </c>
    </row>
    <row r="130" spans="1:7" ht="24" customHeight="1" outlineLevel="1">
      <c r="A130" s="112" t="s">
        <v>309</v>
      </c>
      <c r="B130" s="114"/>
      <c r="C130" s="113">
        <v>1708158769.01</v>
      </c>
      <c r="D130" s="113">
        <v>148383656.12</v>
      </c>
      <c r="E130" s="113">
        <v>98037296.4</v>
      </c>
      <c r="F130" s="114"/>
      <c r="G130" s="113">
        <v>1657812409.29</v>
      </c>
    </row>
    <row r="131" spans="1:7" ht="24" customHeight="1" outlineLevel="2">
      <c r="A131" s="115" t="s">
        <v>310</v>
      </c>
      <c r="B131" s="111"/>
      <c r="C131" s="110">
        <v>43999948</v>
      </c>
      <c r="D131" s="111"/>
      <c r="E131" s="111"/>
      <c r="F131" s="111"/>
      <c r="G131" s="110">
        <v>43999948</v>
      </c>
    </row>
    <row r="132" spans="1:7" ht="12" customHeight="1" outlineLevel="2">
      <c r="A132" s="115" t="s">
        <v>311</v>
      </c>
      <c r="B132" s="111"/>
      <c r="C132" s="110">
        <v>1664158821.01</v>
      </c>
      <c r="D132" s="110">
        <v>148383656.12</v>
      </c>
      <c r="E132" s="110">
        <v>98037296.4</v>
      </c>
      <c r="F132" s="111"/>
      <c r="G132" s="110">
        <v>1613812461.29</v>
      </c>
    </row>
    <row r="133" spans="1:7" ht="24" customHeight="1">
      <c r="A133" s="106" t="s">
        <v>312</v>
      </c>
      <c r="B133" s="108"/>
      <c r="C133" s="333">
        <v>57306299</v>
      </c>
      <c r="D133" s="108"/>
      <c r="E133" s="333">
        <v>2387601</v>
      </c>
      <c r="F133" s="108"/>
      <c r="G133" s="333">
        <v>59693900</v>
      </c>
    </row>
    <row r="134" spans="1:7" ht="36" customHeight="1" outlineLevel="1">
      <c r="A134" s="109" t="s">
        <v>313</v>
      </c>
      <c r="B134" s="111"/>
      <c r="C134" s="110">
        <v>57306299</v>
      </c>
      <c r="D134" s="111"/>
      <c r="E134" s="110">
        <v>2387601</v>
      </c>
      <c r="F134" s="111"/>
      <c r="G134" s="110">
        <v>59693900</v>
      </c>
    </row>
    <row r="135" spans="1:7" ht="24" customHeight="1">
      <c r="A135" s="106" t="s">
        <v>314</v>
      </c>
      <c r="B135" s="108"/>
      <c r="C135" s="333">
        <v>2865932800</v>
      </c>
      <c r="D135" s="108"/>
      <c r="E135" s="333">
        <v>30547560</v>
      </c>
      <c r="F135" s="108"/>
      <c r="G135" s="333">
        <v>2896480360</v>
      </c>
    </row>
    <row r="136" spans="1:7" ht="48" customHeight="1" outlineLevel="1">
      <c r="A136" s="109" t="s">
        <v>315</v>
      </c>
      <c r="B136" s="111"/>
      <c r="C136" s="110">
        <v>2865932800</v>
      </c>
      <c r="D136" s="111"/>
      <c r="E136" s="110">
        <v>30547560</v>
      </c>
      <c r="F136" s="111"/>
      <c r="G136" s="110">
        <v>2896480360</v>
      </c>
    </row>
    <row r="137" spans="1:7" ht="12" customHeight="1">
      <c r="A137" s="106" t="s">
        <v>316</v>
      </c>
      <c r="B137" s="108"/>
      <c r="C137" s="333">
        <v>1188015776.5</v>
      </c>
      <c r="D137" s="108"/>
      <c r="E137" s="108"/>
      <c r="F137" s="108"/>
      <c r="G137" s="333">
        <v>1188015776.5</v>
      </c>
    </row>
    <row r="138" spans="1:7" ht="12" customHeight="1" outlineLevel="1">
      <c r="A138" s="109" t="s">
        <v>317</v>
      </c>
      <c r="B138" s="111"/>
      <c r="C138" s="110">
        <v>12319172</v>
      </c>
      <c r="D138" s="111"/>
      <c r="E138" s="111"/>
      <c r="F138" s="111"/>
      <c r="G138" s="110">
        <v>12319172</v>
      </c>
    </row>
    <row r="139" spans="1:7" ht="12" customHeight="1" outlineLevel="1">
      <c r="A139" s="109" t="s">
        <v>318</v>
      </c>
      <c r="B139" s="111"/>
      <c r="C139" s="110">
        <v>1175696604.5</v>
      </c>
      <c r="D139" s="111"/>
      <c r="E139" s="111"/>
      <c r="F139" s="111"/>
      <c r="G139" s="110">
        <v>1175696604.5</v>
      </c>
    </row>
    <row r="140" spans="1:7" ht="24" customHeight="1">
      <c r="A140" s="106" t="s">
        <v>319</v>
      </c>
      <c r="B140" s="108"/>
      <c r="C140" s="120">
        <v>-38923576.4</v>
      </c>
      <c r="D140" s="108"/>
      <c r="E140" s="108"/>
      <c r="F140" s="108"/>
      <c r="G140" s="120">
        <v>-38923576.4</v>
      </c>
    </row>
    <row r="141" spans="1:7" ht="24" customHeight="1" outlineLevel="1">
      <c r="A141" s="109" t="s">
        <v>320</v>
      </c>
      <c r="B141" s="111"/>
      <c r="C141" s="118">
        <v>-38923576.4</v>
      </c>
      <c r="D141" s="111"/>
      <c r="E141" s="111"/>
      <c r="F141" s="111"/>
      <c r="G141" s="118">
        <v>-38923576.4</v>
      </c>
    </row>
    <row r="142" spans="1:7" ht="12" customHeight="1">
      <c r="A142" s="106" t="s">
        <v>365</v>
      </c>
      <c r="B142" s="108"/>
      <c r="C142" s="333">
        <v>524746000</v>
      </c>
      <c r="D142" s="108"/>
      <c r="E142" s="108"/>
      <c r="F142" s="108"/>
      <c r="G142" s="333">
        <v>524746000</v>
      </c>
    </row>
    <row r="143" spans="1:7" ht="12" customHeight="1" outlineLevel="1">
      <c r="A143" s="109" t="s">
        <v>366</v>
      </c>
      <c r="B143" s="111"/>
      <c r="C143" s="110">
        <v>524746000</v>
      </c>
      <c r="D143" s="111"/>
      <c r="E143" s="111"/>
      <c r="F143" s="111"/>
      <c r="G143" s="110">
        <v>524746000</v>
      </c>
    </row>
    <row r="144" spans="1:7" ht="12" customHeight="1">
      <c r="A144" s="106" t="s">
        <v>321</v>
      </c>
      <c r="B144" s="108"/>
      <c r="C144" s="333">
        <v>7754455499.2</v>
      </c>
      <c r="D144" s="333">
        <v>517543915</v>
      </c>
      <c r="E144" s="108"/>
      <c r="F144" s="108"/>
      <c r="G144" s="333">
        <v>7236911584.2</v>
      </c>
    </row>
    <row r="145" spans="1:7" ht="36" customHeight="1" outlineLevel="1">
      <c r="A145" s="109" t="s">
        <v>322</v>
      </c>
      <c r="B145" s="111"/>
      <c r="C145" s="110">
        <v>7754455499.2</v>
      </c>
      <c r="D145" s="110">
        <v>517543915</v>
      </c>
      <c r="E145" s="111"/>
      <c r="F145" s="111"/>
      <c r="G145" s="110">
        <v>7236911584.2</v>
      </c>
    </row>
    <row r="146" spans="1:7" ht="24" customHeight="1">
      <c r="A146" s="106" t="s">
        <v>323</v>
      </c>
      <c r="B146" s="108"/>
      <c r="C146" s="333">
        <v>5024691277.38</v>
      </c>
      <c r="D146" s="333">
        <v>1585046259.47</v>
      </c>
      <c r="E146" s="333">
        <v>2373888143.29</v>
      </c>
      <c r="F146" s="108"/>
      <c r="G146" s="333">
        <v>5813533161.199999</v>
      </c>
    </row>
    <row r="147" spans="1:7" ht="36" customHeight="1" outlineLevel="1">
      <c r="A147" s="109" t="s">
        <v>324</v>
      </c>
      <c r="B147" s="111"/>
      <c r="C147" s="110">
        <v>1156626259.47</v>
      </c>
      <c r="D147" s="110">
        <v>1156626259.47</v>
      </c>
      <c r="E147" s="110">
        <v>699717968.82</v>
      </c>
      <c r="F147" s="111"/>
      <c r="G147" s="110">
        <v>699717968.82</v>
      </c>
    </row>
    <row r="148" spans="1:7" ht="36" customHeight="1" outlineLevel="1">
      <c r="A148" s="109" t="s">
        <v>367</v>
      </c>
      <c r="B148" s="111"/>
      <c r="C148" s="110">
        <v>3868065017.91</v>
      </c>
      <c r="D148" s="110">
        <v>428420000</v>
      </c>
      <c r="E148" s="110">
        <v>1674170174.47</v>
      </c>
      <c r="F148" s="111"/>
      <c r="G148" s="110">
        <v>5113815192.38</v>
      </c>
    </row>
    <row r="149" spans="1:7" ht="24" customHeight="1">
      <c r="A149" s="106" t="s">
        <v>325</v>
      </c>
      <c r="B149" s="108"/>
      <c r="C149" s="108"/>
      <c r="D149" s="333">
        <v>6489837092.2</v>
      </c>
      <c r="E149" s="333">
        <v>6489837092.2</v>
      </c>
      <c r="F149" s="108"/>
      <c r="G149" s="108"/>
    </row>
    <row r="150" spans="1:7" ht="24" customHeight="1" outlineLevel="1">
      <c r="A150" s="109" t="s">
        <v>326</v>
      </c>
      <c r="B150" s="111"/>
      <c r="C150" s="111"/>
      <c r="D150" s="110">
        <v>6489837092.2</v>
      </c>
      <c r="E150" s="110">
        <v>6489837092.2</v>
      </c>
      <c r="F150" s="111"/>
      <c r="G150" s="111"/>
    </row>
    <row r="151" spans="1:7" ht="24" customHeight="1">
      <c r="A151" s="106" t="s">
        <v>327</v>
      </c>
      <c r="B151" s="108"/>
      <c r="C151" s="108"/>
      <c r="D151" s="333">
        <v>6375501459.14</v>
      </c>
      <c r="E151" s="333">
        <v>6375501459.14</v>
      </c>
      <c r="F151" s="108"/>
      <c r="G151" s="108"/>
    </row>
    <row r="152" spans="1:7" ht="24" customHeight="1" outlineLevel="1">
      <c r="A152" s="109" t="s">
        <v>328</v>
      </c>
      <c r="B152" s="111"/>
      <c r="C152" s="111"/>
      <c r="D152" s="110">
        <v>6375501459.14</v>
      </c>
      <c r="E152" s="110">
        <v>6375501459.14</v>
      </c>
      <c r="F152" s="111"/>
      <c r="G152" s="111"/>
    </row>
    <row r="153" spans="1:7" ht="24" customHeight="1" outlineLevel="2">
      <c r="A153" s="115" t="s">
        <v>328</v>
      </c>
      <c r="B153" s="111"/>
      <c r="C153" s="111"/>
      <c r="D153" s="110">
        <v>357417744.06</v>
      </c>
      <c r="E153" s="110">
        <v>357417744.06</v>
      </c>
      <c r="F153" s="111"/>
      <c r="G153" s="111"/>
    </row>
    <row r="154" spans="1:7" ht="24" customHeight="1" outlineLevel="2">
      <c r="A154" s="115" t="s">
        <v>329</v>
      </c>
      <c r="B154" s="111"/>
      <c r="C154" s="111"/>
      <c r="D154" s="110">
        <v>6018083715.080001</v>
      </c>
      <c r="E154" s="110">
        <v>6018083715.080001</v>
      </c>
      <c r="F154" s="111"/>
      <c r="G154" s="111"/>
    </row>
    <row r="155" spans="1:7" ht="12" customHeight="1">
      <c r="A155" s="106" t="s">
        <v>378</v>
      </c>
      <c r="B155" s="108"/>
      <c r="C155" s="108"/>
      <c r="D155" s="333">
        <v>11948784.86</v>
      </c>
      <c r="E155" s="333">
        <v>11948784.86</v>
      </c>
      <c r="F155" s="108"/>
      <c r="G155" s="108"/>
    </row>
    <row r="156" spans="1:7" ht="24" customHeight="1" outlineLevel="1">
      <c r="A156" s="112" t="s">
        <v>379</v>
      </c>
      <c r="B156" s="114"/>
      <c r="C156" s="114"/>
      <c r="D156" s="113">
        <v>11948784.86</v>
      </c>
      <c r="E156" s="113">
        <v>11948784.86</v>
      </c>
      <c r="F156" s="114"/>
      <c r="G156" s="114"/>
    </row>
    <row r="157" spans="1:7" ht="48" customHeight="1" outlineLevel="2">
      <c r="A157" s="115" t="s">
        <v>380</v>
      </c>
      <c r="B157" s="111"/>
      <c r="C157" s="111"/>
      <c r="D157" s="110">
        <v>11948784.86</v>
      </c>
      <c r="E157" s="110">
        <v>11948784.86</v>
      </c>
      <c r="F157" s="111"/>
      <c r="G157" s="111"/>
    </row>
    <row r="158" spans="1:7" ht="12" customHeight="1">
      <c r="A158" s="106" t="s">
        <v>330</v>
      </c>
      <c r="B158" s="108"/>
      <c r="C158" s="108"/>
      <c r="D158" s="333">
        <v>102386848.2</v>
      </c>
      <c r="E158" s="333">
        <v>102386848.2</v>
      </c>
      <c r="F158" s="108"/>
      <c r="G158" s="108"/>
    </row>
    <row r="159" spans="1:7" ht="24" customHeight="1" outlineLevel="1">
      <c r="A159" s="109" t="s">
        <v>388</v>
      </c>
      <c r="B159" s="111"/>
      <c r="C159" s="111"/>
      <c r="D159" s="110">
        <v>598968.01</v>
      </c>
      <c r="E159" s="110">
        <v>598968.01</v>
      </c>
      <c r="F159" s="111"/>
      <c r="G159" s="111"/>
    </row>
    <row r="160" spans="1:7" ht="12" customHeight="1" outlineLevel="1">
      <c r="A160" s="109" t="s">
        <v>331</v>
      </c>
      <c r="B160" s="111"/>
      <c r="C160" s="111"/>
      <c r="D160" s="110">
        <v>101787880.19</v>
      </c>
      <c r="E160" s="110">
        <v>101787880.19</v>
      </c>
      <c r="F160" s="111"/>
      <c r="G160" s="111"/>
    </row>
    <row r="161" spans="1:7" ht="24" customHeight="1">
      <c r="A161" s="106" t="s">
        <v>332</v>
      </c>
      <c r="B161" s="108"/>
      <c r="C161" s="108"/>
      <c r="D161" s="333">
        <v>66056800.04</v>
      </c>
      <c r="E161" s="333">
        <v>66056800.04</v>
      </c>
      <c r="F161" s="108"/>
      <c r="G161" s="108"/>
    </row>
    <row r="162" spans="1:7" ht="24" customHeight="1" outlineLevel="1">
      <c r="A162" s="109" t="s">
        <v>333</v>
      </c>
      <c r="B162" s="111"/>
      <c r="C162" s="111"/>
      <c r="D162" s="110">
        <v>66056800.04</v>
      </c>
      <c r="E162" s="110">
        <v>66056800.04</v>
      </c>
      <c r="F162" s="111"/>
      <c r="G162" s="111"/>
    </row>
    <row r="163" spans="1:7" ht="24" customHeight="1">
      <c r="A163" s="106" t="s">
        <v>334</v>
      </c>
      <c r="B163" s="108"/>
      <c r="C163" s="108"/>
      <c r="D163" s="333">
        <v>648774890.62</v>
      </c>
      <c r="E163" s="333">
        <v>648774890.62</v>
      </c>
      <c r="F163" s="108"/>
      <c r="G163" s="108"/>
    </row>
    <row r="164" spans="1:7" ht="24" customHeight="1" outlineLevel="1">
      <c r="A164" s="109" t="s">
        <v>335</v>
      </c>
      <c r="B164" s="111"/>
      <c r="C164" s="111"/>
      <c r="D164" s="110">
        <v>365959222.95</v>
      </c>
      <c r="E164" s="110">
        <v>365959222.95</v>
      </c>
      <c r="F164" s="111"/>
      <c r="G164" s="111"/>
    </row>
    <row r="165" spans="1:7" ht="36" customHeight="1" outlineLevel="1">
      <c r="A165" s="109" t="s">
        <v>336</v>
      </c>
      <c r="B165" s="111"/>
      <c r="C165" s="111"/>
      <c r="D165" s="110">
        <v>266062411.21</v>
      </c>
      <c r="E165" s="110">
        <v>266062411.21</v>
      </c>
      <c r="F165" s="111"/>
      <c r="G165" s="111"/>
    </row>
    <row r="166" spans="1:7" ht="36" customHeight="1" outlineLevel="1">
      <c r="A166" s="109" t="s">
        <v>337</v>
      </c>
      <c r="B166" s="111"/>
      <c r="C166" s="111"/>
      <c r="D166" s="110">
        <v>16753256.46</v>
      </c>
      <c r="E166" s="110">
        <v>16753256.46</v>
      </c>
      <c r="F166" s="111"/>
      <c r="G166" s="111"/>
    </row>
    <row r="167" spans="1:7" ht="24" customHeight="1">
      <c r="A167" s="106" t="s">
        <v>338</v>
      </c>
      <c r="B167" s="108"/>
      <c r="C167" s="108"/>
      <c r="D167" s="333">
        <v>214696163.41</v>
      </c>
      <c r="E167" s="333">
        <v>214696163.41</v>
      </c>
      <c r="F167" s="108"/>
      <c r="G167" s="108"/>
    </row>
    <row r="168" spans="1:7" ht="24" customHeight="1" outlineLevel="1">
      <c r="A168" s="112" t="s">
        <v>339</v>
      </c>
      <c r="B168" s="114"/>
      <c r="C168" s="114"/>
      <c r="D168" s="113">
        <v>143397429.41</v>
      </c>
      <c r="E168" s="113">
        <v>143397429.41</v>
      </c>
      <c r="F168" s="114"/>
      <c r="G168" s="114"/>
    </row>
    <row r="169" spans="1:7" ht="48" customHeight="1" outlineLevel="2">
      <c r="A169" s="115" t="s">
        <v>666</v>
      </c>
      <c r="B169" s="111"/>
      <c r="C169" s="111"/>
      <c r="D169" s="110">
        <v>35649367</v>
      </c>
      <c r="E169" s="110">
        <v>35649367</v>
      </c>
      <c r="F169" s="111"/>
      <c r="G169" s="111"/>
    </row>
    <row r="170" spans="1:7" ht="48" customHeight="1" outlineLevel="2">
      <c r="A170" s="115" t="s">
        <v>340</v>
      </c>
      <c r="B170" s="111"/>
      <c r="C170" s="111"/>
      <c r="D170" s="110">
        <v>107748062.41</v>
      </c>
      <c r="E170" s="110">
        <v>107748062.41</v>
      </c>
      <c r="F170" s="111"/>
      <c r="G170" s="111"/>
    </row>
    <row r="171" spans="1:7" ht="24" customHeight="1" outlineLevel="1">
      <c r="A171" s="109" t="s">
        <v>341</v>
      </c>
      <c r="B171" s="111"/>
      <c r="C171" s="111"/>
      <c r="D171" s="110">
        <v>71298734</v>
      </c>
      <c r="E171" s="110">
        <v>71298734</v>
      </c>
      <c r="F171" s="111"/>
      <c r="G171" s="111"/>
    </row>
    <row r="172" spans="1:7" ht="12" customHeight="1">
      <c r="A172" s="106" t="s">
        <v>342</v>
      </c>
      <c r="B172" s="108"/>
      <c r="C172" s="108"/>
      <c r="D172" s="333">
        <v>3367031.52</v>
      </c>
      <c r="E172" s="333">
        <v>3367031.52</v>
      </c>
      <c r="F172" s="108"/>
      <c r="G172" s="108"/>
    </row>
    <row r="173" spans="1:7" ht="24" customHeight="1" outlineLevel="1">
      <c r="A173" s="112" t="s">
        <v>343</v>
      </c>
      <c r="B173" s="114"/>
      <c r="C173" s="114"/>
      <c r="D173" s="113">
        <v>1980323.4</v>
      </c>
      <c r="E173" s="113">
        <v>1980323.4</v>
      </c>
      <c r="F173" s="114"/>
      <c r="G173" s="114"/>
    </row>
    <row r="174" spans="1:7" ht="24" customHeight="1" outlineLevel="2">
      <c r="A174" s="115" t="s">
        <v>344</v>
      </c>
      <c r="B174" s="111"/>
      <c r="C174" s="111"/>
      <c r="D174" s="110">
        <v>1980323.4</v>
      </c>
      <c r="E174" s="110">
        <v>1980323.4</v>
      </c>
      <c r="F174" s="111"/>
      <c r="G174" s="111"/>
    </row>
    <row r="175" spans="1:7" ht="36" customHeight="1" outlineLevel="1">
      <c r="A175" s="109" t="s">
        <v>389</v>
      </c>
      <c r="B175" s="111"/>
      <c r="C175" s="111"/>
      <c r="D175" s="110">
        <v>1298091.7</v>
      </c>
      <c r="E175" s="110">
        <v>1298091.7</v>
      </c>
      <c r="F175" s="111"/>
      <c r="G175" s="111"/>
    </row>
    <row r="176" spans="1:7" ht="12" customHeight="1" outlineLevel="1">
      <c r="A176" s="109" t="s">
        <v>390</v>
      </c>
      <c r="B176" s="111"/>
      <c r="C176" s="111"/>
      <c r="D176" s="110">
        <v>88616.42</v>
      </c>
      <c r="E176" s="110">
        <v>88616.42</v>
      </c>
      <c r="F176" s="111"/>
      <c r="G176" s="111"/>
    </row>
    <row r="177" spans="1:7" ht="36" customHeight="1">
      <c r="A177" s="106" t="s">
        <v>345</v>
      </c>
      <c r="B177" s="108"/>
      <c r="C177" s="108"/>
      <c r="D177" s="333">
        <v>170815503</v>
      </c>
      <c r="E177" s="333">
        <v>170815503</v>
      </c>
      <c r="F177" s="108"/>
      <c r="G177" s="108"/>
    </row>
    <row r="178" spans="1:7" ht="36" customHeight="1" outlineLevel="1">
      <c r="A178" s="112" t="s">
        <v>346</v>
      </c>
      <c r="B178" s="114"/>
      <c r="C178" s="114"/>
      <c r="D178" s="113">
        <v>170815503</v>
      </c>
      <c r="E178" s="113">
        <v>170815503</v>
      </c>
      <c r="F178" s="114"/>
      <c r="G178" s="114"/>
    </row>
    <row r="179" spans="1:7" ht="48" customHeight="1" outlineLevel="2">
      <c r="A179" s="115" t="s">
        <v>391</v>
      </c>
      <c r="B179" s="111"/>
      <c r="C179" s="111"/>
      <c r="D179" s="110">
        <v>30547560</v>
      </c>
      <c r="E179" s="110">
        <v>30547560</v>
      </c>
      <c r="F179" s="111"/>
      <c r="G179" s="111"/>
    </row>
    <row r="180" spans="1:7" ht="48" customHeight="1" outlineLevel="2">
      <c r="A180" s="115" t="s">
        <v>347</v>
      </c>
      <c r="B180" s="111"/>
      <c r="C180" s="111"/>
      <c r="D180" s="110">
        <v>140267943</v>
      </c>
      <c r="E180" s="110">
        <v>140267943</v>
      </c>
      <c r="F180" s="111"/>
      <c r="G180" s="111"/>
    </row>
    <row r="181" spans="1:7" ht="12" customHeight="1">
      <c r="A181" s="106" t="s">
        <v>348</v>
      </c>
      <c r="B181" s="108"/>
      <c r="C181" s="108"/>
      <c r="D181" s="333">
        <v>1737760203.02</v>
      </c>
      <c r="E181" s="333">
        <v>1737760203.02</v>
      </c>
      <c r="F181" s="108"/>
      <c r="G181" s="108"/>
    </row>
    <row r="182" spans="1:7" ht="12" customHeight="1" outlineLevel="1">
      <c r="A182" s="109" t="s">
        <v>349</v>
      </c>
      <c r="B182" s="111"/>
      <c r="C182" s="111"/>
      <c r="D182" s="110">
        <v>1703159313.45</v>
      </c>
      <c r="E182" s="110">
        <v>1703159313.45</v>
      </c>
      <c r="F182" s="111"/>
      <c r="G182" s="111"/>
    </row>
    <row r="183" spans="1:7" ht="24" customHeight="1" outlineLevel="1">
      <c r="A183" s="109" t="s">
        <v>350</v>
      </c>
      <c r="B183" s="111"/>
      <c r="C183" s="111"/>
      <c r="D183" s="110">
        <v>6143057.57</v>
      </c>
      <c r="E183" s="110">
        <v>6143057.57</v>
      </c>
      <c r="F183" s="111"/>
      <c r="G183" s="111"/>
    </row>
    <row r="184" spans="1:7" ht="24" customHeight="1" outlineLevel="1">
      <c r="A184" s="109" t="s">
        <v>351</v>
      </c>
      <c r="B184" s="111"/>
      <c r="C184" s="111"/>
      <c r="D184" s="110">
        <v>28457832</v>
      </c>
      <c r="E184" s="110">
        <v>28457832</v>
      </c>
      <c r="F184" s="111"/>
      <c r="G184" s="111"/>
    </row>
    <row r="185" spans="1:7" ht="24" customHeight="1">
      <c r="A185" s="106" t="s">
        <v>352</v>
      </c>
      <c r="B185" s="108"/>
      <c r="C185" s="108"/>
      <c r="D185" s="333">
        <v>69825078.37</v>
      </c>
      <c r="E185" s="333">
        <v>69825078.37</v>
      </c>
      <c r="F185" s="108"/>
      <c r="G185" s="108"/>
    </row>
    <row r="186" spans="1:7" ht="24" customHeight="1" outlineLevel="1">
      <c r="A186" s="109" t="s">
        <v>353</v>
      </c>
      <c r="B186" s="111"/>
      <c r="C186" s="111"/>
      <c r="D186" s="110">
        <v>69825078.37</v>
      </c>
      <c r="E186" s="110">
        <v>69825078.37</v>
      </c>
      <c r="F186" s="111"/>
      <c r="G186" s="111"/>
    </row>
    <row r="187" spans="1:7" ht="12" customHeight="1">
      <c r="A187" s="106" t="s">
        <v>354</v>
      </c>
      <c r="B187" s="108"/>
      <c r="C187" s="108"/>
      <c r="D187" s="333">
        <v>2878823453.4</v>
      </c>
      <c r="E187" s="333">
        <v>2878823453.4</v>
      </c>
      <c r="F187" s="108"/>
      <c r="G187" s="108"/>
    </row>
    <row r="188" spans="1:7" ht="12" customHeight="1" outlineLevel="1">
      <c r="A188" s="109" t="s">
        <v>355</v>
      </c>
      <c r="B188" s="111"/>
      <c r="C188" s="111"/>
      <c r="D188" s="110">
        <v>2458835624.33</v>
      </c>
      <c r="E188" s="110">
        <v>2458835624.33</v>
      </c>
      <c r="F188" s="111"/>
      <c r="G188" s="111"/>
    </row>
    <row r="189" spans="1:7" ht="36" customHeight="1" outlineLevel="1">
      <c r="A189" s="112" t="s">
        <v>356</v>
      </c>
      <c r="B189" s="114"/>
      <c r="C189" s="114"/>
      <c r="D189" s="113">
        <v>419987829.07</v>
      </c>
      <c r="E189" s="113">
        <v>419987829.07</v>
      </c>
      <c r="F189" s="114"/>
      <c r="G189" s="114"/>
    </row>
    <row r="190" spans="1:7" ht="24" customHeight="1" outlineLevel="2">
      <c r="A190" s="115" t="s">
        <v>357</v>
      </c>
      <c r="B190" s="111"/>
      <c r="C190" s="111"/>
      <c r="D190" s="110">
        <v>14263969.51</v>
      </c>
      <c r="E190" s="110">
        <v>14263969.51</v>
      </c>
      <c r="F190" s="111"/>
      <c r="G190" s="111"/>
    </row>
    <row r="191" spans="1:7" ht="24" customHeight="1" outlineLevel="2">
      <c r="A191" s="115" t="s">
        <v>358</v>
      </c>
      <c r="B191" s="111"/>
      <c r="C191" s="111"/>
      <c r="D191" s="110">
        <v>19370132.48</v>
      </c>
      <c r="E191" s="110">
        <v>19370132.48</v>
      </c>
      <c r="F191" s="111"/>
      <c r="G191" s="111"/>
    </row>
    <row r="192" spans="1:7" ht="24" customHeight="1" outlineLevel="2">
      <c r="A192" s="115" t="s">
        <v>359</v>
      </c>
      <c r="B192" s="111"/>
      <c r="C192" s="111"/>
      <c r="D192" s="110">
        <v>386353727.08</v>
      </c>
      <c r="E192" s="110">
        <v>386353727.08</v>
      </c>
      <c r="F192" s="111"/>
      <c r="G192" s="111"/>
    </row>
    <row r="193" spans="1:7" ht="24" customHeight="1">
      <c r="A193" s="121" t="s">
        <v>77</v>
      </c>
      <c r="B193" s="122">
        <v>25481536561.7</v>
      </c>
      <c r="C193" s="122">
        <v>25481536561.7</v>
      </c>
      <c r="D193" s="122">
        <v>144220873456.63</v>
      </c>
      <c r="E193" s="122">
        <v>144220873456.63</v>
      </c>
      <c r="F193" s="122">
        <v>25974849797.61</v>
      </c>
      <c r="G193" s="122">
        <v>25974849797.61</v>
      </c>
    </row>
    <row r="195" spans="5:6" ht="12.75">
      <c r="E195" s="89">
        <v>2184</v>
      </c>
      <c r="F195" s="91">
        <f>F56</f>
        <v>95000459.07</v>
      </c>
    </row>
    <row r="197" spans="5:6" ht="12.75">
      <c r="E197" s="89">
        <v>1610</v>
      </c>
      <c r="F197" s="89">
        <v>550965</v>
      </c>
    </row>
    <row r="198" ht="12.75">
      <c r="F198" s="91">
        <f>F193-F195</f>
        <v>25879849338.54</v>
      </c>
    </row>
    <row r="201" ht="12.75">
      <c r="F201" s="247">
        <f>F193-F195-F197</f>
        <v>25879298373.54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B2:J80"/>
  <sheetViews>
    <sheetView workbookViewId="0" topLeftCell="A7">
      <selection activeCell="E71" sqref="E71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2" ht="12.75">
      <c r="D2" s="1" t="s">
        <v>0</v>
      </c>
    </row>
    <row r="3" spans="3:4" ht="12.75">
      <c r="C3" s="1" t="s">
        <v>1</v>
      </c>
      <c r="D3" s="1"/>
    </row>
    <row r="4" spans="3:5" ht="12.75">
      <c r="C4" s="1" t="s">
        <v>2</v>
      </c>
      <c r="D4" s="1"/>
      <c r="E4" s="1"/>
    </row>
    <row r="5" spans="2:6" ht="15.75">
      <c r="B5" s="2" t="s">
        <v>3</v>
      </c>
      <c r="C5" s="3"/>
      <c r="D5" s="3"/>
      <c r="E5" s="3"/>
      <c r="F5" s="3"/>
    </row>
    <row r="6" spans="2:6" ht="15.75">
      <c r="B6" s="2"/>
      <c r="C6" s="3"/>
      <c r="D6" s="3"/>
      <c r="E6" s="3"/>
      <c r="F6" s="3"/>
    </row>
    <row r="7" spans="2:6" ht="15.75">
      <c r="B7" s="364" t="s">
        <v>667</v>
      </c>
      <c r="C7" s="364"/>
      <c r="D7" s="3"/>
      <c r="E7" s="3"/>
      <c r="F7" s="3"/>
    </row>
    <row r="8" spans="2:6" ht="15.75">
      <c r="B8" s="4"/>
      <c r="C8" s="3"/>
      <c r="D8" s="3"/>
      <c r="E8" s="3"/>
      <c r="F8" s="3"/>
    </row>
    <row r="9" spans="2:6" ht="7.5" customHeight="1">
      <c r="B9" s="3"/>
      <c r="C9" s="3"/>
      <c r="D9" s="3"/>
      <c r="E9" s="3"/>
      <c r="F9" s="3"/>
    </row>
    <row r="10" spans="2:6" ht="15" customHeight="1">
      <c r="B10" s="3"/>
      <c r="C10" s="3"/>
      <c r="D10" s="3"/>
      <c r="E10" s="62" t="s">
        <v>4</v>
      </c>
      <c r="F10" s="3"/>
    </row>
    <row r="11" spans="2:6" ht="1.5" customHeight="1" hidden="1">
      <c r="B11" s="3"/>
      <c r="C11" s="3"/>
      <c r="D11" s="3"/>
      <c r="E11" s="3"/>
      <c r="F11" s="3"/>
    </row>
    <row r="12" spans="2:6" ht="15.75" thickBot="1">
      <c r="B12" s="3"/>
      <c r="C12" s="3"/>
      <c r="D12" s="3"/>
      <c r="E12" s="3"/>
      <c r="F12" s="3"/>
    </row>
    <row r="13" spans="2:6" ht="48" thickBot="1">
      <c r="B13" s="5" t="s">
        <v>5</v>
      </c>
      <c r="C13" s="6" t="s">
        <v>6</v>
      </c>
      <c r="D13" s="6" t="s">
        <v>7</v>
      </c>
      <c r="E13" s="6" t="s">
        <v>8</v>
      </c>
      <c r="F13" s="3"/>
    </row>
    <row r="14" spans="2:6" ht="16.5" thickBot="1">
      <c r="B14" s="7" t="s">
        <v>9</v>
      </c>
      <c r="C14" s="8"/>
      <c r="D14" s="8"/>
      <c r="E14" s="8"/>
      <c r="F14" s="3"/>
    </row>
    <row r="15" spans="2:6" ht="16.5" thickBot="1">
      <c r="B15" s="7" t="s">
        <v>10</v>
      </c>
      <c r="C15" s="8">
        <v>10</v>
      </c>
      <c r="D15" s="75">
        <f>'осв 09'!F6/1000</f>
        <v>2340510.9901</v>
      </c>
      <c r="E15" s="76">
        <v>1720310</v>
      </c>
      <c r="F15" s="3"/>
    </row>
    <row r="16" spans="2:6" ht="32.25" thickBot="1">
      <c r="B16" s="7" t="s">
        <v>11</v>
      </c>
      <c r="C16" s="8">
        <v>11</v>
      </c>
      <c r="D16" s="10"/>
      <c r="E16" s="9"/>
      <c r="F16" s="3"/>
    </row>
    <row r="17" spans="2:6" ht="16.5" thickBot="1">
      <c r="B17" s="7" t="s">
        <v>12</v>
      </c>
      <c r="C17" s="8">
        <v>12</v>
      </c>
      <c r="D17" s="10"/>
      <c r="E17" s="9"/>
      <c r="F17" s="3"/>
    </row>
    <row r="18" spans="2:6" ht="48" thickBot="1">
      <c r="B18" s="7" t="s">
        <v>13</v>
      </c>
      <c r="C18" s="8">
        <v>13</v>
      </c>
      <c r="D18" s="10"/>
      <c r="E18" s="9"/>
      <c r="F18" s="3"/>
    </row>
    <row r="19" spans="2:6" ht="32.25" thickBot="1">
      <c r="B19" s="7" t="s">
        <v>14</v>
      </c>
      <c r="C19" s="8">
        <v>14</v>
      </c>
      <c r="D19" s="10"/>
      <c r="E19" s="9"/>
      <c r="F19" s="3"/>
    </row>
    <row r="20" spans="2:6" ht="32.25" thickBot="1">
      <c r="B20" s="7" t="s">
        <v>15</v>
      </c>
      <c r="C20" s="8">
        <v>15</v>
      </c>
      <c r="D20" s="10"/>
      <c r="E20" s="9"/>
      <c r="F20" s="3"/>
    </row>
    <row r="21" spans="2:9" ht="32.25" thickBot="1">
      <c r="B21" s="7" t="s">
        <v>16</v>
      </c>
      <c r="C21" s="8">
        <v>16</v>
      </c>
      <c r="D21" s="16">
        <f>('осв 09'!F15+'осв 09'!F16+'осв 09'!F18+'осв 09'!F25-'осв 09'!G30)/1000</f>
        <v>216593.0203</v>
      </c>
      <c r="E21" s="16">
        <v>781327</v>
      </c>
      <c r="F21" s="3"/>
      <c r="G21" s="51"/>
      <c r="I21" s="51"/>
    </row>
    <row r="22" spans="2:7" ht="16.5" thickBot="1">
      <c r="B22" s="7" t="s">
        <v>17</v>
      </c>
      <c r="C22" s="8">
        <v>17</v>
      </c>
      <c r="D22" s="16">
        <f>'осв 09'!F44/1000</f>
        <v>90405.80979</v>
      </c>
      <c r="E22" s="14">
        <v>46123</v>
      </c>
      <c r="F22" s="3"/>
      <c r="G22" s="51"/>
    </row>
    <row r="23" spans="2:7" ht="16.5" thickBot="1">
      <c r="B23" s="7" t="s">
        <v>18</v>
      </c>
      <c r="C23" s="8">
        <v>18</v>
      </c>
      <c r="D23" s="16">
        <f>'осв 09'!F32/1000</f>
        <v>231697.3442</v>
      </c>
      <c r="E23" s="14">
        <v>209303</v>
      </c>
      <c r="F23" s="3"/>
      <c r="G23" s="51"/>
    </row>
    <row r="24" spans="2:7" ht="16.5" thickBot="1">
      <c r="B24" s="7" t="s">
        <v>19</v>
      </c>
      <c r="C24" s="8">
        <v>19</v>
      </c>
      <c r="D24" s="10">
        <f>('осв 09'!F19+'осв 09'!F48+'осв 09'!F55+'осв 09'!F50-'осв 09'!G31)/1000-551</f>
        <v>693603.5020399999</v>
      </c>
      <c r="E24" s="9"/>
      <c r="F24" s="3"/>
      <c r="G24" s="51"/>
    </row>
    <row r="25" spans="2:6" ht="32.25" thickBot="1">
      <c r="B25" s="7" t="s">
        <v>20</v>
      </c>
      <c r="C25" s="8">
        <v>100</v>
      </c>
      <c r="D25" s="72">
        <f>SUM(D15:D24)</f>
        <v>3572810.66643</v>
      </c>
      <c r="E25" s="15">
        <f>SUM(E15:E24)</f>
        <v>2757063</v>
      </c>
      <c r="F25" s="3"/>
    </row>
    <row r="26" spans="2:7" ht="32.25" thickBot="1">
      <c r="B26" s="7" t="s">
        <v>21</v>
      </c>
      <c r="C26" s="8">
        <v>101</v>
      </c>
      <c r="D26" s="10"/>
      <c r="E26" s="9"/>
      <c r="F26" s="3"/>
      <c r="G26" s="51"/>
    </row>
    <row r="27" spans="2:7" ht="16.5" thickBot="1">
      <c r="B27" s="7" t="s">
        <v>22</v>
      </c>
      <c r="C27" s="8"/>
      <c r="D27" s="10"/>
      <c r="E27" s="9"/>
      <c r="F27" s="3"/>
      <c r="G27" s="51"/>
    </row>
    <row r="28" spans="2:7" ht="32.25" thickBot="1">
      <c r="B28" s="7" t="s">
        <v>11</v>
      </c>
      <c r="C28" s="8">
        <v>110</v>
      </c>
      <c r="D28" s="10"/>
      <c r="E28" s="9"/>
      <c r="F28" s="3"/>
      <c r="G28" s="51"/>
    </row>
    <row r="29" spans="2:7" ht="16.5" thickBot="1">
      <c r="B29" s="7" t="s">
        <v>12</v>
      </c>
      <c r="C29" s="8">
        <v>111</v>
      </c>
      <c r="D29" s="10"/>
      <c r="E29" s="9"/>
      <c r="F29" s="3"/>
      <c r="G29" s="51"/>
    </row>
    <row r="30" spans="2:7" ht="48" thickBot="1">
      <c r="B30" s="7" t="s">
        <v>13</v>
      </c>
      <c r="C30" s="8">
        <v>112</v>
      </c>
      <c r="D30" s="10"/>
      <c r="E30" s="9"/>
      <c r="F30" s="3"/>
      <c r="G30" s="51"/>
    </row>
    <row r="31" spans="2:7" ht="32.25" thickBot="1">
      <c r="B31" s="7" t="s">
        <v>14</v>
      </c>
      <c r="C31" s="8">
        <v>113</v>
      </c>
      <c r="D31" s="10"/>
      <c r="E31" s="9"/>
      <c r="F31" s="3"/>
      <c r="G31" s="51"/>
    </row>
    <row r="32" spans="2:7" ht="16.5" thickBot="1">
      <c r="B32" s="7" t="s">
        <v>23</v>
      </c>
      <c r="C32" s="8">
        <v>114</v>
      </c>
      <c r="D32" s="10"/>
      <c r="E32" s="9"/>
      <c r="F32" s="3"/>
      <c r="G32" s="244"/>
    </row>
    <row r="33" spans="2:7" ht="32.25" thickBot="1">
      <c r="B33" s="7" t="s">
        <v>24</v>
      </c>
      <c r="C33" s="8">
        <v>115</v>
      </c>
      <c r="D33" s="10"/>
      <c r="E33" s="9"/>
      <c r="F33" s="3"/>
      <c r="G33" s="51"/>
    </row>
    <row r="34" spans="2:7" ht="32.25" thickBot="1">
      <c r="B34" s="7" t="s">
        <v>25</v>
      </c>
      <c r="C34" s="8">
        <v>116</v>
      </c>
      <c r="D34" s="10"/>
      <c r="E34" s="9"/>
      <c r="F34" s="3"/>
      <c r="G34" s="51"/>
    </row>
    <row r="35" spans="2:6" ht="16.5" thickBot="1">
      <c r="B35" s="7" t="s">
        <v>26</v>
      </c>
      <c r="C35" s="8">
        <v>117</v>
      </c>
      <c r="D35" s="10"/>
      <c r="E35" s="10"/>
      <c r="F35" s="3"/>
    </row>
    <row r="36" spans="2:8" ht="16.5" thickBot="1">
      <c r="B36" s="7" t="s">
        <v>27</v>
      </c>
      <c r="C36" s="8">
        <v>118</v>
      </c>
      <c r="D36" s="74">
        <f>('осв 09'!F59+'осв 09'!F79-36120000)/1000</f>
        <v>22173920.18503</v>
      </c>
      <c r="E36" s="74">
        <v>22505247</v>
      </c>
      <c r="F36" s="3"/>
      <c r="H36" s="11"/>
    </row>
    <row r="37" spans="2:6" ht="16.5" thickBot="1">
      <c r="B37" s="7" t="s">
        <v>28</v>
      </c>
      <c r="C37" s="8">
        <v>119</v>
      </c>
      <c r="D37" s="10"/>
      <c r="E37" s="10"/>
      <c r="F37" s="3"/>
    </row>
    <row r="38" spans="2:6" ht="16.5" thickBot="1">
      <c r="B38" s="7" t="s">
        <v>29</v>
      </c>
      <c r="C38" s="8">
        <v>120</v>
      </c>
      <c r="D38" s="10"/>
      <c r="E38" s="10"/>
      <c r="F38" s="3"/>
    </row>
    <row r="39" spans="2:6" ht="16.5" thickBot="1">
      <c r="B39" s="7" t="s">
        <v>30</v>
      </c>
      <c r="C39" s="8">
        <v>121</v>
      </c>
      <c r="D39" s="16">
        <f>'осв 09'!F70/1000</f>
        <v>96447.48707999999</v>
      </c>
      <c r="E39" s="16">
        <v>109033</v>
      </c>
      <c r="F39" s="3"/>
    </row>
    <row r="40" spans="2:6" ht="16.5" thickBot="1">
      <c r="B40" s="7" t="s">
        <v>31</v>
      </c>
      <c r="C40" s="8">
        <v>122</v>
      </c>
      <c r="D40" s="10"/>
      <c r="E40" s="9"/>
      <c r="F40" s="3"/>
    </row>
    <row r="41" spans="2:6" ht="16.5" thickBot="1">
      <c r="B41" s="7" t="s">
        <v>32</v>
      </c>
      <c r="C41" s="8">
        <v>123</v>
      </c>
      <c r="D41" s="10">
        <f>'осв 08'!F81/1000</f>
        <v>36120</v>
      </c>
      <c r="E41" s="9"/>
      <c r="F41" s="3"/>
    </row>
    <row r="42" spans="2:8" ht="32.25" thickBot="1">
      <c r="B42" s="7" t="s">
        <v>33</v>
      </c>
      <c r="C42" s="8">
        <v>200</v>
      </c>
      <c r="D42" s="52">
        <f>SUM(D28:D41)</f>
        <v>22306487.67211</v>
      </c>
      <c r="E42" s="15">
        <f>SUM(E33:E41)</f>
        <v>22614280</v>
      </c>
      <c r="F42" s="3"/>
      <c r="G42" s="13"/>
      <c r="H42" s="11"/>
    </row>
    <row r="43" spans="2:7" ht="32.25" thickBot="1">
      <c r="B43" s="7" t="s">
        <v>34</v>
      </c>
      <c r="C43" s="8"/>
      <c r="D43" s="52">
        <f>D25+D42</f>
        <v>25879298.33854</v>
      </c>
      <c r="E43" s="15">
        <f>E25+E42</f>
        <v>25371343</v>
      </c>
      <c r="F43" s="3"/>
      <c r="G43" s="11"/>
    </row>
    <row r="44" spans="2:6" ht="48" thickBot="1">
      <c r="B44" s="7" t="s">
        <v>35</v>
      </c>
      <c r="C44" s="8" t="s">
        <v>6</v>
      </c>
      <c r="D44" s="10" t="s">
        <v>7</v>
      </c>
      <c r="E44" s="9" t="s">
        <v>8</v>
      </c>
      <c r="F44" s="3"/>
    </row>
    <row r="45" spans="2:6" ht="16.5" thickBot="1">
      <c r="B45" s="7" t="s">
        <v>36</v>
      </c>
      <c r="C45" s="8"/>
      <c r="D45" s="10"/>
      <c r="E45" s="9"/>
      <c r="F45" s="3"/>
    </row>
    <row r="46" spans="2:6" ht="16.5" thickBot="1">
      <c r="B46" s="7" t="s">
        <v>37</v>
      </c>
      <c r="C46" s="8">
        <v>210</v>
      </c>
      <c r="D46" s="10"/>
      <c r="E46" s="9"/>
      <c r="F46" s="3"/>
    </row>
    <row r="47" spans="2:6" ht="16.5" thickBot="1">
      <c r="B47" s="7" t="s">
        <v>12</v>
      </c>
      <c r="C47" s="8">
        <v>211</v>
      </c>
      <c r="D47" s="10"/>
      <c r="E47" s="9"/>
      <c r="F47" s="3"/>
    </row>
    <row r="48" spans="2:7" ht="32.25" thickBot="1">
      <c r="B48" s="7" t="s">
        <v>38</v>
      </c>
      <c r="C48" s="8">
        <v>212</v>
      </c>
      <c r="D48" s="10">
        <f>('осв 09'!G88+'осв 09'!G109-'осв 09'!F58+68359567)/1000</f>
        <v>217382.17753000004</v>
      </c>
      <c r="E48" s="9">
        <v>1063514</v>
      </c>
      <c r="F48" s="3"/>
      <c r="G48" s="11"/>
    </row>
    <row r="49" spans="2:10" ht="32.25" thickBot="1">
      <c r="B49" s="7" t="s">
        <v>39</v>
      </c>
      <c r="C49" s="8">
        <v>213</v>
      </c>
      <c r="D49" s="10">
        <f>('осв 09'!G85+'осв 09'!G104+'осв 09'!G111+'осв 09'!G122)/1000</f>
        <v>1438542.13436</v>
      </c>
      <c r="E49" s="9">
        <v>2878485</v>
      </c>
      <c r="F49" s="3"/>
      <c r="J49" s="11"/>
    </row>
    <row r="50" spans="2:6" ht="16.5" thickBot="1">
      <c r="B50" s="7" t="s">
        <v>40</v>
      </c>
      <c r="C50" s="8">
        <v>214</v>
      </c>
      <c r="D50" s="10">
        <f>('осв 09'!G119-1574000)/1000</f>
        <v>112539.893</v>
      </c>
      <c r="E50" s="9">
        <v>111410</v>
      </c>
      <c r="F50" s="3"/>
    </row>
    <row r="51" spans="2:8" ht="32.25" thickBot="1">
      <c r="B51" s="7" t="s">
        <v>41</v>
      </c>
      <c r="C51" s="8">
        <v>215</v>
      </c>
      <c r="D51" s="10"/>
      <c r="E51" s="10"/>
      <c r="F51" s="3"/>
      <c r="H51" s="11"/>
    </row>
    <row r="52" spans="2:6" ht="16.5" thickBot="1">
      <c r="B52" s="7" t="s">
        <v>42</v>
      </c>
      <c r="C52" s="8">
        <v>216</v>
      </c>
      <c r="D52" s="10">
        <f>'осв 09'!G108/1000</f>
        <v>57843.61389</v>
      </c>
      <c r="E52" s="9">
        <v>38815</v>
      </c>
      <c r="F52" s="3"/>
    </row>
    <row r="53" spans="2:8" ht="16.5" thickBot="1">
      <c r="B53" s="7" t="s">
        <v>43</v>
      </c>
      <c r="C53" s="8">
        <v>217</v>
      </c>
      <c r="D53" s="10">
        <f>('осв 09'!G91+'осв 09'!G100+1574000)/1000-551</f>
        <v>141657.84022</v>
      </c>
      <c r="E53" s="12">
        <v>28412</v>
      </c>
      <c r="F53" s="3"/>
      <c r="H53" s="51"/>
    </row>
    <row r="54" spans="2:6" ht="32.25" thickBot="1">
      <c r="B54" s="7" t="s">
        <v>44</v>
      </c>
      <c r="C54" s="8">
        <v>300</v>
      </c>
      <c r="D54" s="72">
        <f>SUM(D48:D53)</f>
        <v>1967965.659</v>
      </c>
      <c r="E54" s="15">
        <f>SUM(E48:E53)</f>
        <v>4120636</v>
      </c>
      <c r="F54" s="3"/>
    </row>
    <row r="55" spans="2:6" ht="32.25" thickBot="1">
      <c r="B55" s="7" t="s">
        <v>45</v>
      </c>
      <c r="C55" s="8">
        <v>301</v>
      </c>
      <c r="D55" s="10"/>
      <c r="E55" s="9"/>
      <c r="F55" s="3"/>
    </row>
    <row r="56" spans="2:6" ht="16.5" thickBot="1">
      <c r="B56" s="7" t="s">
        <v>46</v>
      </c>
      <c r="C56" s="8"/>
      <c r="D56" s="10"/>
      <c r="E56" s="9"/>
      <c r="F56" s="3"/>
    </row>
    <row r="57" spans="2:6" ht="16.5" thickBot="1">
      <c r="B57" s="7" t="s">
        <v>37</v>
      </c>
      <c r="C57" s="8">
        <v>310</v>
      </c>
      <c r="D57" s="10"/>
      <c r="E57" s="9"/>
      <c r="F57" s="3"/>
    </row>
    <row r="58" spans="2:6" ht="16.5" thickBot="1">
      <c r="B58" s="7" t="s">
        <v>12</v>
      </c>
      <c r="C58" s="8">
        <v>311</v>
      </c>
      <c r="D58" s="100"/>
      <c r="E58" s="9"/>
      <c r="F58" s="3"/>
    </row>
    <row r="59" spans="2:6" ht="32.25" thickBot="1">
      <c r="B59" s="7" t="s">
        <v>47</v>
      </c>
      <c r="C59" s="99">
        <v>312</v>
      </c>
      <c r="D59" s="102">
        <f>('осв 09'!G127-68359567)/1000</f>
        <v>4573063.064750001</v>
      </c>
      <c r="E59" s="102">
        <v>2166323</v>
      </c>
      <c r="F59" s="3"/>
    </row>
    <row r="60" spans="2:6" ht="32.25" thickBot="1">
      <c r="B60" s="7" t="s">
        <v>48</v>
      </c>
      <c r="C60" s="8">
        <v>313</v>
      </c>
      <c r="D60" s="16"/>
      <c r="E60" s="9"/>
      <c r="F60" s="3"/>
    </row>
    <row r="61" spans="2:6" ht="16.5" thickBot="1">
      <c r="B61" s="7" t="s">
        <v>49</v>
      </c>
      <c r="C61" s="8">
        <v>314</v>
      </c>
      <c r="D61" s="16">
        <f>'осв 09'!G134/1000</f>
        <v>59693.9</v>
      </c>
      <c r="E61" s="14">
        <v>57306</v>
      </c>
      <c r="F61" s="3"/>
    </row>
    <row r="62" spans="2:6" ht="16.5" thickBot="1">
      <c r="B62" s="7" t="s">
        <v>50</v>
      </c>
      <c r="C62" s="8">
        <v>315</v>
      </c>
      <c r="D62" s="16">
        <f>'осв 09'!G136/1000</f>
        <v>2896480.36</v>
      </c>
      <c r="E62" s="16">
        <v>2865933</v>
      </c>
      <c r="F62" s="55"/>
    </row>
    <row r="63" spans="2:6" ht="16.5" thickBot="1">
      <c r="B63" s="7" t="s">
        <v>51</v>
      </c>
      <c r="C63" s="8">
        <v>316</v>
      </c>
      <c r="D63" s="16">
        <f>'осв 09'!G130/1000</f>
        <v>1657812.4092899999</v>
      </c>
      <c r="E63" s="14">
        <v>1708160</v>
      </c>
      <c r="F63" s="3"/>
    </row>
    <row r="64" spans="2:6" ht="32.25" thickBot="1">
      <c r="B64" s="7" t="s">
        <v>52</v>
      </c>
      <c r="C64" s="8">
        <v>400</v>
      </c>
      <c r="D64" s="15">
        <f>SUM(D57:D63)</f>
        <v>9187049.73404</v>
      </c>
      <c r="E64" s="15">
        <f>SUM(E57:E63)</f>
        <v>6797722</v>
      </c>
      <c r="F64" s="3"/>
    </row>
    <row r="65" spans="2:6" ht="16.5" thickBot="1">
      <c r="B65" s="7" t="s">
        <v>53</v>
      </c>
      <c r="C65" s="8"/>
      <c r="D65" s="73"/>
      <c r="E65" s="14"/>
      <c r="F65" s="3"/>
    </row>
    <row r="66" spans="2:7" ht="16.5" thickBot="1">
      <c r="B66" s="7" t="s">
        <v>54</v>
      </c>
      <c r="C66" s="8">
        <v>410</v>
      </c>
      <c r="D66" s="16">
        <f>('осв 09'!G137+'осв 09'!G143)/1000</f>
        <v>1712761.7765</v>
      </c>
      <c r="E66" s="16">
        <v>1712762</v>
      </c>
      <c r="F66" s="3"/>
      <c r="G66" s="11">
        <f>D66-E66</f>
        <v>-0.22350000008009374</v>
      </c>
    </row>
    <row r="67" spans="2:6" ht="16.5" thickBot="1">
      <c r="B67" s="7" t="s">
        <v>55</v>
      </c>
      <c r="C67" s="8">
        <v>411</v>
      </c>
      <c r="D67" s="73"/>
      <c r="E67" s="14"/>
      <c r="F67" s="3"/>
    </row>
    <row r="68" spans="2:6" ht="32.25" thickBot="1">
      <c r="B68" s="7" t="s">
        <v>56</v>
      </c>
      <c r="C68" s="8">
        <v>412</v>
      </c>
      <c r="D68" s="16">
        <f>'осв 09'!G141/1000</f>
        <v>-38923.5764</v>
      </c>
      <c r="E68" s="14">
        <v>-38924</v>
      </c>
      <c r="F68" s="3"/>
    </row>
    <row r="69" spans="2:6" ht="16.5" thickBot="1">
      <c r="B69" s="7" t="s">
        <v>57</v>
      </c>
      <c r="C69" s="8">
        <v>413</v>
      </c>
      <c r="D69" s="16">
        <f>'осв 09'!G145/1000</f>
        <v>7236911.584199999</v>
      </c>
      <c r="E69" s="16">
        <v>7754455</v>
      </c>
      <c r="F69" s="55"/>
    </row>
    <row r="70" spans="2:8" ht="32.25" thickBot="1">
      <c r="B70" s="7" t="s">
        <v>58</v>
      </c>
      <c r="C70" s="8">
        <v>414</v>
      </c>
      <c r="D70" s="16">
        <f>'осв 09'!G146/1000</f>
        <v>5813533.161199999</v>
      </c>
      <c r="E70" s="14">
        <v>5024692</v>
      </c>
      <c r="F70" s="13"/>
      <c r="H70" s="11"/>
    </row>
    <row r="71" spans="2:6" ht="48" thickBot="1">
      <c r="B71" s="7" t="s">
        <v>59</v>
      </c>
      <c r="C71" s="8">
        <v>420</v>
      </c>
      <c r="D71" s="73"/>
      <c r="E71" s="9"/>
      <c r="F71" s="3"/>
    </row>
    <row r="72" spans="2:6" ht="16.5" thickBot="1">
      <c r="B72" s="7" t="s">
        <v>60</v>
      </c>
      <c r="C72" s="8">
        <v>421</v>
      </c>
      <c r="D72" s="77"/>
      <c r="E72" s="10"/>
      <c r="F72" s="3"/>
    </row>
    <row r="73" spans="2:6" ht="16.5" thickBot="1">
      <c r="B73" s="7" t="s">
        <v>61</v>
      </c>
      <c r="C73" s="8">
        <v>500</v>
      </c>
      <c r="D73" s="15">
        <f>SUM(D66:D72)</f>
        <v>14724282.945499998</v>
      </c>
      <c r="E73" s="15">
        <f>SUM(E66:E72)</f>
        <v>14452985</v>
      </c>
      <c r="F73" s="3"/>
    </row>
    <row r="74" spans="2:8" ht="32.25" thickBot="1">
      <c r="B74" s="7" t="s">
        <v>62</v>
      </c>
      <c r="C74" s="8"/>
      <c r="D74" s="15">
        <f>D54+D64+D73</f>
        <v>25879298.338539995</v>
      </c>
      <c r="E74" s="15">
        <f>E54+E64+E73</f>
        <v>25371343</v>
      </c>
      <c r="F74" s="3"/>
      <c r="H74" s="11"/>
    </row>
    <row r="75" spans="2:6" ht="15">
      <c r="B75" s="3"/>
      <c r="C75" s="3"/>
      <c r="D75" s="13"/>
      <c r="E75" s="3"/>
      <c r="F75" s="3"/>
    </row>
    <row r="76" spans="2:6" ht="15">
      <c r="B76" s="3"/>
      <c r="C76" s="3"/>
      <c r="D76" s="13"/>
      <c r="E76" s="13"/>
      <c r="F76" s="3"/>
    </row>
    <row r="77" spans="2:6" ht="15">
      <c r="B77" s="3"/>
      <c r="C77" s="3"/>
      <c r="D77" s="13"/>
      <c r="E77" s="3"/>
      <c r="F77" s="3"/>
    </row>
    <row r="78" spans="2:6" ht="15">
      <c r="B78" s="3" t="s">
        <v>63</v>
      </c>
      <c r="C78" s="3"/>
      <c r="D78" s="13"/>
      <c r="E78" s="3"/>
      <c r="F78" s="3"/>
    </row>
    <row r="79" spans="2:6" ht="15">
      <c r="B79" s="3"/>
      <c r="C79" s="3"/>
      <c r="D79" s="13"/>
      <c r="E79" s="3"/>
      <c r="F79" s="3"/>
    </row>
    <row r="80" spans="2:6" ht="15">
      <c r="B80" s="3" t="s">
        <v>64</v>
      </c>
      <c r="C80" s="3"/>
      <c r="D80" s="3"/>
      <c r="E80" s="3"/>
      <c r="F80" s="3"/>
    </row>
  </sheetData>
  <sheetProtection/>
  <mergeCells count="1">
    <mergeCell ref="B7:C7"/>
  </mergeCells>
  <printOptions/>
  <pageMargins left="0.75" right="0.75" top="1" bottom="0.42" header="0.5" footer="0.5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E37"/>
  <sheetViews>
    <sheetView zoomScalePageLayoutView="0" workbookViewId="0" topLeftCell="A1">
      <selection activeCell="E24" sqref="E24:E25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">
      <c r="B1" s="3"/>
      <c r="C1" s="104"/>
      <c r="D1" s="104" t="s">
        <v>169</v>
      </c>
      <c r="E1" s="92"/>
    </row>
    <row r="2" spans="2:5" ht="15">
      <c r="B2" s="3"/>
      <c r="C2" s="104" t="s">
        <v>1</v>
      </c>
      <c r="D2" s="104"/>
      <c r="E2" s="92"/>
    </row>
    <row r="3" spans="2:5" ht="15">
      <c r="B3" s="3"/>
      <c r="C3" s="104" t="s">
        <v>2</v>
      </c>
      <c r="D3" s="104"/>
      <c r="E3" s="92"/>
    </row>
    <row r="4" spans="2:5" ht="15">
      <c r="B4" s="3"/>
      <c r="C4" s="3"/>
      <c r="D4" s="3"/>
      <c r="E4" s="3"/>
    </row>
    <row r="5" spans="2:5" ht="15.75">
      <c r="B5" s="2" t="s">
        <v>170</v>
      </c>
      <c r="C5" s="3"/>
      <c r="D5" s="3"/>
      <c r="E5" s="3"/>
    </row>
    <row r="6" spans="2:5" ht="15.75">
      <c r="B6" s="2"/>
      <c r="C6" s="3"/>
      <c r="D6" s="3"/>
      <c r="E6" s="3"/>
    </row>
    <row r="7" spans="2:5" ht="15.75">
      <c r="B7" s="4" t="s">
        <v>594</v>
      </c>
      <c r="C7" s="3"/>
      <c r="D7" s="3"/>
      <c r="E7" s="3"/>
    </row>
    <row r="8" spans="2:5" ht="15">
      <c r="B8" s="3"/>
      <c r="C8" s="3"/>
      <c r="D8" s="3"/>
      <c r="E8" s="3"/>
    </row>
    <row r="9" spans="2:5" ht="12.75" customHeight="1">
      <c r="B9" s="3"/>
      <c r="C9" s="3"/>
      <c r="D9" s="3"/>
      <c r="E9" s="62" t="s">
        <v>4</v>
      </c>
    </row>
    <row r="10" spans="2:5" ht="3" customHeight="1" hidden="1">
      <c r="B10" s="3"/>
      <c r="C10" s="3"/>
      <c r="D10" s="3"/>
      <c r="E10" s="3"/>
    </row>
    <row r="11" spans="2:5" ht="15.75" thickBot="1">
      <c r="B11" s="3"/>
      <c r="C11" s="3"/>
      <c r="D11" s="3"/>
      <c r="E11" s="3"/>
    </row>
    <row r="12" spans="2:5" ht="63.75" customHeight="1" thickBot="1">
      <c r="B12" s="5" t="s">
        <v>112</v>
      </c>
      <c r="C12" s="6" t="s">
        <v>6</v>
      </c>
      <c r="D12" s="6" t="s">
        <v>113</v>
      </c>
      <c r="E12" s="6" t="s">
        <v>171</v>
      </c>
    </row>
    <row r="13" spans="2:5" ht="16.5" thickBot="1">
      <c r="B13" s="7" t="s">
        <v>172</v>
      </c>
      <c r="C13" s="8">
        <v>10</v>
      </c>
      <c r="D13" s="93">
        <f>осв07!D152/1000+33564.24</f>
        <v>5026476.66018</v>
      </c>
      <c r="E13" s="93">
        <f>4564943.532+33564.24</f>
        <v>4598507.772</v>
      </c>
    </row>
    <row r="14" spans="2:5" ht="34.5" customHeight="1" thickBot="1">
      <c r="B14" s="7" t="s">
        <v>173</v>
      </c>
      <c r="C14" s="8">
        <v>11</v>
      </c>
      <c r="D14" s="101">
        <f>(осв07!D180+осв07!D184+осв07!D186)/1000</f>
        <v>3604318.29354</v>
      </c>
      <c r="E14" s="94">
        <v>2780765.598</v>
      </c>
    </row>
    <row r="15" spans="2:5" ht="30.75" customHeight="1" thickBot="1">
      <c r="B15" s="7" t="s">
        <v>174</v>
      </c>
      <c r="C15" s="8">
        <v>12</v>
      </c>
      <c r="D15" s="72">
        <f>D13-D14</f>
        <v>1422158.3666399997</v>
      </c>
      <c r="E15" s="72">
        <f>E13-E14</f>
        <v>1817742.1739999996</v>
      </c>
    </row>
    <row r="16" spans="2:5" ht="24.75" customHeight="1" thickBot="1">
      <c r="B16" s="7" t="s">
        <v>175</v>
      </c>
      <c r="C16" s="8">
        <v>13</v>
      </c>
      <c r="D16" s="10">
        <f>осв07!D162/1000</f>
        <v>51755.82591</v>
      </c>
      <c r="E16" s="10">
        <v>37481.14</v>
      </c>
    </row>
    <row r="17" spans="2:5" ht="21" customHeight="1" thickBot="1">
      <c r="B17" s="7" t="s">
        <v>176</v>
      </c>
      <c r="C17" s="8">
        <v>14</v>
      </c>
      <c r="D17" s="10">
        <f>осв07!D163/1000</f>
        <v>459109.17270999996</v>
      </c>
      <c r="E17" s="10">
        <v>303288.247</v>
      </c>
    </row>
    <row r="18" spans="2:5" ht="16.5" thickBot="1">
      <c r="B18" s="7" t="s">
        <v>177</v>
      </c>
      <c r="C18" s="8">
        <v>15</v>
      </c>
      <c r="D18" s="10"/>
      <c r="E18" s="10"/>
    </row>
    <row r="19" spans="2:5" ht="16.5" thickBot="1">
      <c r="B19" s="7" t="s">
        <v>178</v>
      </c>
      <c r="C19" s="8">
        <v>16</v>
      </c>
      <c r="D19" s="10">
        <f>(осв07!D158-осв07!D171)/1000-33564.24</f>
        <v>44325.976550000014</v>
      </c>
      <c r="E19" s="10">
        <v>45206</v>
      </c>
    </row>
    <row r="20" spans="2:5" ht="35.25" customHeight="1" thickBot="1">
      <c r="B20" s="7" t="s">
        <v>179</v>
      </c>
      <c r="C20" s="8">
        <v>20</v>
      </c>
      <c r="D20" s="10">
        <f>D15-D16-D17+D19-D18</f>
        <v>955619.3445699998</v>
      </c>
      <c r="E20" s="10">
        <f>E15-E16-E17+E19-E18</f>
        <v>1522178.7869999998</v>
      </c>
    </row>
    <row r="21" spans="2:5" ht="24" customHeight="1" thickBot="1">
      <c r="B21" s="7" t="s">
        <v>180</v>
      </c>
      <c r="C21" s="8">
        <v>21</v>
      </c>
      <c r="D21" s="10">
        <f>осв07!D157/1000</f>
        <v>5613.54679</v>
      </c>
      <c r="E21" s="10">
        <v>2380.76</v>
      </c>
    </row>
    <row r="22" spans="2:5" ht="29.25" customHeight="1" thickBot="1">
      <c r="B22" s="7" t="s">
        <v>181</v>
      </c>
      <c r="C22" s="8">
        <v>22</v>
      </c>
      <c r="D22" s="10">
        <f>осв07!D167/1000</f>
        <v>156416.96355000001</v>
      </c>
      <c r="E22" s="10">
        <v>141386.572</v>
      </c>
    </row>
    <row r="23" spans="2:5" ht="62.25" customHeight="1" thickBot="1">
      <c r="B23" s="7" t="s">
        <v>182</v>
      </c>
      <c r="C23" s="8">
        <v>23</v>
      </c>
      <c r="D23" s="10"/>
      <c r="E23" s="10"/>
    </row>
    <row r="24" spans="2:5" ht="20.25" customHeight="1" thickBot="1">
      <c r="B24" s="7" t="s">
        <v>183</v>
      </c>
      <c r="C24" s="8">
        <v>24</v>
      </c>
      <c r="D24" s="10"/>
      <c r="E24" s="10"/>
    </row>
    <row r="25" spans="2:5" ht="17.25" customHeight="1" thickBot="1">
      <c r="B25" s="7" t="s">
        <v>184</v>
      </c>
      <c r="C25" s="8">
        <v>25</v>
      </c>
      <c r="D25" s="10"/>
      <c r="E25" s="10"/>
    </row>
    <row r="26" spans="2:5" ht="36" customHeight="1" thickBot="1">
      <c r="B26" s="7" t="s">
        <v>185</v>
      </c>
      <c r="C26" s="8">
        <v>100</v>
      </c>
      <c r="D26" s="72">
        <f>D20+D21-D22-D25</f>
        <v>804815.9278099999</v>
      </c>
      <c r="E26" s="72">
        <f>E20+E21-E22-E25</f>
        <v>1383172.9749999999</v>
      </c>
    </row>
    <row r="27" spans="2:5" ht="23.25" customHeight="1" thickBot="1">
      <c r="B27" s="7" t="s">
        <v>186</v>
      </c>
      <c r="C27" s="5">
        <v>101</v>
      </c>
      <c r="D27" s="95">
        <f>осв07!D177/1000</f>
        <v>157091.818</v>
      </c>
      <c r="E27" s="95">
        <v>243103.246</v>
      </c>
    </row>
    <row r="28" spans="2:5" ht="54.75" customHeight="1" thickBot="1">
      <c r="B28" s="7" t="s">
        <v>187</v>
      </c>
      <c r="C28" s="8">
        <v>200</v>
      </c>
      <c r="D28" s="10">
        <f>D26-D27</f>
        <v>647724.1098099999</v>
      </c>
      <c r="E28" s="10">
        <f>E26-E27</f>
        <v>1140069.7289999998</v>
      </c>
    </row>
    <row r="29" spans="2:5" ht="48.75" customHeight="1" thickBot="1">
      <c r="B29" s="7" t="s">
        <v>188</v>
      </c>
      <c r="C29" s="8">
        <v>201</v>
      </c>
      <c r="D29" s="10"/>
      <c r="E29" s="10"/>
    </row>
    <row r="30" spans="2:5" ht="33.75" customHeight="1" thickBot="1">
      <c r="B30" s="7" t="s">
        <v>189</v>
      </c>
      <c r="C30" s="8">
        <v>300</v>
      </c>
      <c r="D30" s="72">
        <f>D28+D29</f>
        <v>647724.1098099999</v>
      </c>
      <c r="E30" s="72">
        <f>E28+E29</f>
        <v>1140069.7289999998</v>
      </c>
    </row>
    <row r="31" spans="2:5" ht="16.5" thickBot="1">
      <c r="B31" s="7" t="s">
        <v>193</v>
      </c>
      <c r="C31" s="8"/>
      <c r="D31" s="10"/>
      <c r="E31" s="10"/>
    </row>
    <row r="32" spans="2:5" ht="16.5" thickBot="1">
      <c r="B32" s="7" t="s">
        <v>194</v>
      </c>
      <c r="C32" s="8"/>
      <c r="D32" s="10"/>
      <c r="E32" s="10"/>
    </row>
    <row r="33" spans="2:5" ht="15">
      <c r="B33" s="96"/>
      <c r="C33" s="3"/>
      <c r="D33" s="3"/>
      <c r="E33" s="97"/>
    </row>
    <row r="34" spans="2:5" ht="15">
      <c r="B34" s="98" t="s">
        <v>63</v>
      </c>
      <c r="C34" s="3"/>
      <c r="D34" s="3"/>
      <c r="E34" s="97"/>
    </row>
    <row r="35" spans="2:5" ht="15">
      <c r="B35" s="96"/>
      <c r="C35" s="3"/>
      <c r="D35" s="3"/>
      <c r="E35" s="97"/>
    </row>
    <row r="36" spans="2:5" ht="15">
      <c r="B36" s="98" t="s">
        <v>64</v>
      </c>
      <c r="C36" s="3"/>
      <c r="D36" s="3"/>
      <c r="E36" s="97"/>
    </row>
    <row r="37" ht="18">
      <c r="B37" s="8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D63" sqref="D63"/>
    </sheetView>
  </sheetViews>
  <sheetFormatPr defaultColWidth="9.00390625" defaultRowHeight="12.75"/>
  <cols>
    <col min="1" max="1" width="2.00390625" style="0" customWidth="1"/>
    <col min="2" max="2" width="43.25390625" style="0" customWidth="1"/>
    <col min="3" max="3" width="11.125" style="0" customWidth="1"/>
    <col min="4" max="4" width="19.875" style="0" customWidth="1"/>
    <col min="5" max="5" width="20.625" style="0" customWidth="1"/>
    <col min="6" max="9" width="25.875" style="0" customWidth="1"/>
  </cols>
  <sheetData>
    <row r="1" spans="1:5" ht="14.25">
      <c r="A1" s="53"/>
      <c r="B1" s="53"/>
      <c r="C1" s="63"/>
      <c r="D1" s="63" t="s">
        <v>108</v>
      </c>
      <c r="E1" s="53"/>
    </row>
    <row r="2" spans="1:5" ht="14.25">
      <c r="A2" s="53"/>
      <c r="B2" s="53"/>
      <c r="C2" s="63" t="s">
        <v>1</v>
      </c>
      <c r="D2" s="63"/>
      <c r="E2" s="53"/>
    </row>
    <row r="3" spans="1:5" ht="14.25">
      <c r="A3" s="53"/>
      <c r="B3" s="53"/>
      <c r="C3" s="63" t="s">
        <v>109</v>
      </c>
      <c r="D3" s="63"/>
      <c r="E3" s="53"/>
    </row>
    <row r="4" spans="1:5" ht="14.25">
      <c r="A4" s="53"/>
      <c r="B4" s="53"/>
      <c r="C4" s="53"/>
      <c r="D4" s="53"/>
      <c r="E4" s="53"/>
    </row>
    <row r="5" spans="1:5" ht="14.25">
      <c r="A5" s="53"/>
      <c r="B5" s="53"/>
      <c r="C5" s="86" t="s">
        <v>110</v>
      </c>
      <c r="D5" s="53"/>
      <c r="E5" s="63"/>
    </row>
    <row r="6" spans="1:5" ht="14.25">
      <c r="A6" s="53"/>
      <c r="B6" s="53"/>
      <c r="C6" s="86"/>
      <c r="D6" s="53"/>
      <c r="E6" s="63"/>
    </row>
    <row r="7" spans="1:5" ht="12.75" customHeight="1">
      <c r="A7" s="53"/>
      <c r="B7" s="365" t="s">
        <v>669</v>
      </c>
      <c r="C7" s="366"/>
      <c r="D7" s="53"/>
      <c r="E7" s="63"/>
    </row>
    <row r="8" spans="1:5" ht="15">
      <c r="A8" s="53"/>
      <c r="B8" s="53"/>
      <c r="C8" s="87"/>
      <c r="D8" s="53"/>
      <c r="E8" s="63"/>
    </row>
    <row r="9" spans="1:5" ht="14.25">
      <c r="A9" s="53"/>
      <c r="B9" s="63"/>
      <c r="C9" s="63"/>
      <c r="D9" s="63"/>
      <c r="E9" s="45" t="s">
        <v>111</v>
      </c>
    </row>
    <row r="10" spans="1:5" ht="15" thickBot="1">
      <c r="A10" s="53"/>
      <c r="B10" s="63"/>
      <c r="C10" s="63"/>
      <c r="D10" s="63"/>
      <c r="E10" s="63"/>
    </row>
    <row r="11" spans="1:5" ht="33.75" customHeight="1" thickBot="1">
      <c r="A11" s="53"/>
      <c r="B11" s="46" t="s">
        <v>112</v>
      </c>
      <c r="C11" s="47" t="s">
        <v>6</v>
      </c>
      <c r="D11" s="47" t="s">
        <v>113</v>
      </c>
      <c r="E11" s="47" t="s">
        <v>114</v>
      </c>
    </row>
    <row r="12" spans="1:5" ht="13.5" customHeight="1" thickBot="1">
      <c r="A12" s="53"/>
      <c r="B12" s="367" t="s">
        <v>115</v>
      </c>
      <c r="C12" s="368"/>
      <c r="D12" s="368"/>
      <c r="E12" s="395"/>
    </row>
    <row r="13" spans="1:7" ht="35.25" customHeight="1" thickBot="1">
      <c r="A13" s="53"/>
      <c r="B13" s="48" t="s">
        <v>116</v>
      </c>
      <c r="C13" s="49">
        <v>10</v>
      </c>
      <c r="D13" s="64">
        <f>SUM(D14:D20)</f>
        <v>7626312</v>
      </c>
      <c r="E13" s="64">
        <f>SUM(E14:E20)</f>
        <v>9562296</v>
      </c>
      <c r="G13" s="11"/>
    </row>
    <row r="14" spans="1:5" ht="22.5" customHeight="1" thickBot="1">
      <c r="A14" s="53"/>
      <c r="B14" s="48" t="s">
        <v>117</v>
      </c>
      <c r="C14" s="49"/>
      <c r="D14" s="78"/>
      <c r="E14" s="50"/>
    </row>
    <row r="15" spans="1:5" ht="15.75" customHeight="1" thickBot="1">
      <c r="A15" s="53"/>
      <c r="B15" s="66" t="s">
        <v>118</v>
      </c>
      <c r="C15" s="67">
        <v>11</v>
      </c>
      <c r="D15" s="50">
        <v>6675076</v>
      </c>
      <c r="E15" s="50">
        <v>9077032</v>
      </c>
    </row>
    <row r="16" spans="1:5" ht="18" customHeight="1" thickBot="1">
      <c r="A16" s="53"/>
      <c r="B16" s="66" t="s">
        <v>119</v>
      </c>
      <c r="C16" s="67">
        <v>12</v>
      </c>
      <c r="D16" s="50"/>
      <c r="E16" s="50"/>
    </row>
    <row r="17" spans="1:7" ht="29.25" customHeight="1" thickBot="1">
      <c r="A17" s="53"/>
      <c r="B17" s="66" t="s">
        <v>120</v>
      </c>
      <c r="C17" s="67">
        <v>13</v>
      </c>
      <c r="D17" s="50">
        <v>800402</v>
      </c>
      <c r="E17" s="50">
        <v>179295</v>
      </c>
      <c r="G17" s="54"/>
    </row>
    <row r="18" spans="1:5" ht="18" customHeight="1" thickBot="1">
      <c r="A18" s="53"/>
      <c r="B18" s="66" t="s">
        <v>121</v>
      </c>
      <c r="C18" s="67">
        <v>14</v>
      </c>
      <c r="D18" s="50"/>
      <c r="E18" s="50"/>
    </row>
    <row r="19" spans="1:5" ht="15" customHeight="1" thickBot="1">
      <c r="A19" s="53"/>
      <c r="B19" s="66" t="s">
        <v>122</v>
      </c>
      <c r="C19" s="67">
        <v>15</v>
      </c>
      <c r="D19" s="50"/>
      <c r="E19" s="50"/>
    </row>
    <row r="20" spans="1:5" ht="41.25" customHeight="1" thickBot="1">
      <c r="A20" s="53"/>
      <c r="B20" s="66" t="s">
        <v>123</v>
      </c>
      <c r="C20" s="67">
        <v>16</v>
      </c>
      <c r="D20" s="50">
        <v>150834</v>
      </c>
      <c r="E20" s="50">
        <v>305969</v>
      </c>
    </row>
    <row r="21" spans="1:5" ht="36" customHeight="1" thickBot="1">
      <c r="A21" s="53"/>
      <c r="B21" s="66" t="s">
        <v>124</v>
      </c>
      <c r="C21" s="67">
        <v>20</v>
      </c>
      <c r="D21" s="68">
        <f>SUM(D23:D29)</f>
        <v>5893330.6</v>
      </c>
      <c r="E21" s="68">
        <f>SUM(E23:E29)</f>
        <v>7364169</v>
      </c>
    </row>
    <row r="22" spans="1:5" ht="15" thickBot="1">
      <c r="A22" s="53"/>
      <c r="B22" s="66" t="s">
        <v>117</v>
      </c>
      <c r="C22" s="67"/>
      <c r="D22" s="50"/>
      <c r="E22" s="50"/>
    </row>
    <row r="23" spans="1:5" ht="21" customHeight="1" thickBot="1">
      <c r="A23" s="53"/>
      <c r="B23" s="66" t="s">
        <v>125</v>
      </c>
      <c r="C23" s="67">
        <v>21</v>
      </c>
      <c r="D23" s="50">
        <v>3524974</v>
      </c>
      <c r="E23" s="50">
        <v>4323119</v>
      </c>
    </row>
    <row r="24" spans="1:5" ht="33" customHeight="1" thickBot="1">
      <c r="A24" s="53"/>
      <c r="B24" s="66" t="s">
        <v>126</v>
      </c>
      <c r="C24" s="67">
        <v>22</v>
      </c>
      <c r="D24" s="50">
        <v>437384</v>
      </c>
      <c r="E24" s="50">
        <v>300215</v>
      </c>
    </row>
    <row r="25" spans="1:5" ht="15" thickBot="1">
      <c r="A25" s="53"/>
      <c r="B25" s="66" t="s">
        <v>127</v>
      </c>
      <c r="C25" s="67">
        <v>23</v>
      </c>
      <c r="D25" s="50">
        <f>928637</f>
        <v>928637</v>
      </c>
      <c r="E25" s="50">
        <v>1209299</v>
      </c>
    </row>
    <row r="26" spans="1:5" ht="16.5" customHeight="1" thickBot="1">
      <c r="A26" s="53"/>
      <c r="B26" s="66" t="s">
        <v>128</v>
      </c>
      <c r="C26" s="67">
        <v>24</v>
      </c>
      <c r="D26" s="50">
        <v>130393.6</v>
      </c>
      <c r="E26" s="50">
        <v>256803</v>
      </c>
    </row>
    <row r="27" spans="1:5" ht="24" customHeight="1" thickBot="1">
      <c r="A27" s="53"/>
      <c r="B27" s="66" t="s">
        <v>129</v>
      </c>
      <c r="C27" s="67">
        <v>25</v>
      </c>
      <c r="D27" s="50"/>
      <c r="E27" s="50"/>
    </row>
    <row r="28" spans="1:5" ht="28.5" customHeight="1" thickBot="1">
      <c r="A28" s="53"/>
      <c r="B28" s="66" t="s">
        <v>130</v>
      </c>
      <c r="C28" s="67">
        <v>26</v>
      </c>
      <c r="D28" s="50">
        <v>499534</v>
      </c>
      <c r="E28" s="50">
        <v>1140659</v>
      </c>
    </row>
    <row r="29" spans="1:5" ht="15" thickBot="1">
      <c r="A29" s="53"/>
      <c r="B29" s="66" t="s">
        <v>131</v>
      </c>
      <c r="C29" s="67">
        <v>27</v>
      </c>
      <c r="D29" s="50">
        <f>372408</f>
        <v>372408</v>
      </c>
      <c r="E29" s="50">
        <v>134074</v>
      </c>
    </row>
    <row r="30" spans="1:7" ht="52.5" customHeight="1" thickBot="1">
      <c r="A30" s="53"/>
      <c r="B30" s="66" t="s">
        <v>132</v>
      </c>
      <c r="C30" s="67">
        <v>30</v>
      </c>
      <c r="D30" s="68">
        <f>D13-D21</f>
        <v>1732981.4000000004</v>
      </c>
      <c r="E30" s="68">
        <f>E13-E21</f>
        <v>2198127</v>
      </c>
      <c r="G30" s="11"/>
    </row>
    <row r="31" spans="1:5" ht="13.5" customHeight="1" thickBot="1">
      <c r="A31" s="53"/>
      <c r="B31" s="369" t="s">
        <v>133</v>
      </c>
      <c r="C31" s="370"/>
      <c r="D31" s="370"/>
      <c r="E31" s="396"/>
    </row>
    <row r="32" spans="1:5" ht="43.5" customHeight="1" thickBot="1">
      <c r="A32" s="53"/>
      <c r="B32" s="66" t="s">
        <v>134</v>
      </c>
      <c r="C32" s="67">
        <v>40</v>
      </c>
      <c r="D32" s="50">
        <f>SUM(D33:D44)</f>
        <v>0</v>
      </c>
      <c r="E32" s="50">
        <f>SUM(E33:E44)</f>
        <v>0</v>
      </c>
    </row>
    <row r="33" spans="1:5" ht="15" thickBot="1">
      <c r="A33" s="53"/>
      <c r="B33" s="66" t="s">
        <v>117</v>
      </c>
      <c r="C33" s="67"/>
      <c r="D33" s="50"/>
      <c r="E33" s="50"/>
    </row>
    <row r="34" spans="1:5" ht="18" customHeight="1" thickBot="1">
      <c r="A34" s="53"/>
      <c r="B34" s="66" t="s">
        <v>135</v>
      </c>
      <c r="C34" s="67">
        <v>41</v>
      </c>
      <c r="D34" s="50"/>
      <c r="E34" s="50"/>
    </row>
    <row r="35" spans="1:5" ht="25.5" customHeight="1" thickBot="1">
      <c r="A35" s="53"/>
      <c r="B35" s="66" t="s">
        <v>136</v>
      </c>
      <c r="C35" s="67">
        <v>42</v>
      </c>
      <c r="D35" s="50"/>
      <c r="E35" s="50"/>
    </row>
    <row r="36" spans="1:5" ht="17.25" customHeight="1" thickBot="1">
      <c r="A36" s="53"/>
      <c r="B36" s="66" t="s">
        <v>137</v>
      </c>
      <c r="C36" s="67">
        <v>43</v>
      </c>
      <c r="D36" s="50"/>
      <c r="E36" s="50"/>
    </row>
    <row r="37" spans="1:5" ht="41.25" customHeight="1" thickBot="1">
      <c r="A37" s="53"/>
      <c r="B37" s="66" t="s">
        <v>138</v>
      </c>
      <c r="C37" s="67">
        <v>44</v>
      </c>
      <c r="D37" s="50"/>
      <c r="E37" s="50"/>
    </row>
    <row r="38" spans="1:5" ht="34.5" customHeight="1" thickBot="1">
      <c r="A38" s="53"/>
      <c r="B38" s="66" t="s">
        <v>139</v>
      </c>
      <c r="C38" s="67">
        <v>45</v>
      </c>
      <c r="D38" s="50"/>
      <c r="E38" s="50"/>
    </row>
    <row r="39" spans="1:5" ht="36.75" customHeight="1" thickBot="1">
      <c r="A39" s="53"/>
      <c r="B39" s="66" t="s">
        <v>140</v>
      </c>
      <c r="C39" s="67">
        <v>46</v>
      </c>
      <c r="D39" s="50"/>
      <c r="E39" s="50"/>
    </row>
    <row r="40" spans="1:5" ht="31.5" customHeight="1" thickBot="1">
      <c r="A40" s="53"/>
      <c r="B40" s="66" t="s">
        <v>141</v>
      </c>
      <c r="C40" s="67">
        <v>47</v>
      </c>
      <c r="D40" s="50"/>
      <c r="E40" s="50"/>
    </row>
    <row r="41" spans="1:5" ht="33.75" customHeight="1" thickBot="1">
      <c r="A41" s="53"/>
      <c r="B41" s="66" t="s">
        <v>142</v>
      </c>
      <c r="C41" s="67">
        <v>48</v>
      </c>
      <c r="D41" s="50"/>
      <c r="E41" s="50"/>
    </row>
    <row r="42" spans="1:5" ht="22.5" customHeight="1" thickBot="1">
      <c r="A42" s="53"/>
      <c r="B42" s="66" t="s">
        <v>143</v>
      </c>
      <c r="C42" s="67">
        <v>49</v>
      </c>
      <c r="D42" s="50"/>
      <c r="E42" s="50"/>
    </row>
    <row r="43" spans="1:5" ht="18" customHeight="1" thickBot="1">
      <c r="A43" s="53"/>
      <c r="B43" s="66" t="s">
        <v>122</v>
      </c>
      <c r="C43" s="67">
        <v>50</v>
      </c>
      <c r="D43" s="50"/>
      <c r="E43" s="50"/>
    </row>
    <row r="44" spans="1:5" ht="21.75" customHeight="1" thickBot="1">
      <c r="A44" s="53"/>
      <c r="B44" s="66" t="s">
        <v>123</v>
      </c>
      <c r="C44" s="67">
        <v>51</v>
      </c>
      <c r="D44" s="50"/>
      <c r="E44" s="50"/>
    </row>
    <row r="45" spans="1:7" ht="42.75" customHeight="1" thickBot="1">
      <c r="A45" s="53"/>
      <c r="B45" s="66" t="s">
        <v>144</v>
      </c>
      <c r="C45" s="67">
        <v>60</v>
      </c>
      <c r="D45" s="68">
        <f>SUM(D47:D49)</f>
        <v>2085647</v>
      </c>
      <c r="E45" s="68">
        <f>SUM(E47:E49)</f>
        <v>2062631</v>
      </c>
      <c r="G45" s="11"/>
    </row>
    <row r="46" spans="1:5" ht="15" thickBot="1">
      <c r="A46" s="53"/>
      <c r="B46" s="66" t="s">
        <v>117</v>
      </c>
      <c r="C46" s="67"/>
      <c r="D46" s="50"/>
      <c r="E46" s="50"/>
    </row>
    <row r="47" spans="1:5" ht="29.25" customHeight="1" thickBot="1">
      <c r="A47" s="53"/>
      <c r="B47" s="66" t="s">
        <v>145</v>
      </c>
      <c r="C47" s="67">
        <v>61</v>
      </c>
      <c r="D47" s="103">
        <v>1979742</v>
      </c>
      <c r="E47" s="103">
        <v>2037962</v>
      </c>
    </row>
    <row r="48" spans="1:5" ht="18" customHeight="1" thickBot="1">
      <c r="A48" s="53"/>
      <c r="B48" s="66" t="s">
        <v>146</v>
      </c>
      <c r="C48" s="67">
        <v>62</v>
      </c>
      <c r="D48" s="103">
        <v>68651</v>
      </c>
      <c r="E48" s="103">
        <v>22229</v>
      </c>
    </row>
    <row r="49" spans="1:5" ht="27" customHeight="1" thickBot="1">
      <c r="A49" s="53"/>
      <c r="B49" s="66" t="s">
        <v>147</v>
      </c>
      <c r="C49" s="67">
        <v>63</v>
      </c>
      <c r="D49" s="103">
        <v>37254</v>
      </c>
      <c r="E49" s="103">
        <v>2440</v>
      </c>
    </row>
    <row r="50" spans="1:5" ht="41.25" customHeight="1" thickBot="1">
      <c r="A50" s="53"/>
      <c r="B50" s="66" t="s">
        <v>148</v>
      </c>
      <c r="C50" s="67">
        <v>64</v>
      </c>
      <c r="D50" s="50"/>
      <c r="E50" s="50"/>
    </row>
    <row r="51" spans="1:5" ht="30.75" customHeight="1" thickBot="1">
      <c r="A51" s="53"/>
      <c r="B51" s="66" t="s">
        <v>149</v>
      </c>
      <c r="C51" s="67">
        <v>65</v>
      </c>
      <c r="D51" s="50"/>
      <c r="E51" s="50"/>
    </row>
    <row r="52" spans="1:5" ht="37.5" customHeight="1" thickBot="1">
      <c r="A52" s="53"/>
      <c r="B52" s="66" t="s">
        <v>150</v>
      </c>
      <c r="C52" s="67">
        <v>66</v>
      </c>
      <c r="D52" s="50"/>
      <c r="E52" s="50"/>
    </row>
    <row r="53" spans="1:5" ht="16.5" customHeight="1" thickBot="1">
      <c r="A53" s="53"/>
      <c r="B53" s="66" t="s">
        <v>151</v>
      </c>
      <c r="C53" s="67">
        <v>67</v>
      </c>
      <c r="D53" s="50"/>
      <c r="E53" s="50"/>
    </row>
    <row r="54" spans="1:5" ht="15" thickBot="1">
      <c r="A54" s="53"/>
      <c r="B54" s="66" t="s">
        <v>152</v>
      </c>
      <c r="C54" s="67">
        <v>68</v>
      </c>
      <c r="D54" s="50"/>
      <c r="E54" s="50"/>
    </row>
    <row r="55" spans="1:5" ht="32.25" customHeight="1" thickBot="1">
      <c r="A55" s="53"/>
      <c r="B55" s="66" t="s">
        <v>142</v>
      </c>
      <c r="C55" s="67">
        <v>69</v>
      </c>
      <c r="D55" s="50"/>
      <c r="E55" s="50"/>
    </row>
    <row r="56" spans="1:5" ht="43.5" customHeight="1" thickBot="1">
      <c r="A56" s="53"/>
      <c r="B56" s="66" t="s">
        <v>153</v>
      </c>
      <c r="C56" s="67">
        <v>70</v>
      </c>
      <c r="D56" s="50"/>
      <c r="E56" s="50"/>
    </row>
    <row r="57" spans="1:5" ht="15" thickBot="1">
      <c r="A57" s="53"/>
      <c r="B57" s="66" t="s">
        <v>131</v>
      </c>
      <c r="C57" s="67">
        <v>71</v>
      </c>
      <c r="D57" s="50"/>
      <c r="E57" s="50"/>
    </row>
    <row r="58" spans="1:5" ht="42" customHeight="1" thickBot="1">
      <c r="A58" s="53"/>
      <c r="B58" s="66" t="s">
        <v>154</v>
      </c>
      <c r="C58" s="67">
        <v>80</v>
      </c>
      <c r="D58" s="50">
        <f>D32-D45</f>
        <v>-2085647</v>
      </c>
      <c r="E58" s="103">
        <f>E32-E45</f>
        <v>-2062631</v>
      </c>
    </row>
    <row r="59" spans="1:5" ht="13.5" customHeight="1" thickBot="1">
      <c r="A59" s="53"/>
      <c r="B59" s="369" t="s">
        <v>155</v>
      </c>
      <c r="C59" s="370"/>
      <c r="D59" s="370"/>
      <c r="E59" s="396"/>
    </row>
    <row r="60" spans="1:5" ht="44.25" customHeight="1" thickBot="1">
      <c r="A60" s="53"/>
      <c r="B60" s="66" t="s">
        <v>156</v>
      </c>
      <c r="C60" s="67">
        <v>90</v>
      </c>
      <c r="D60" s="68">
        <f>D65+D64+D63+D62</f>
        <v>2345668.146</v>
      </c>
      <c r="E60" s="68">
        <f>E65+E64+E63+E62</f>
        <v>1601988</v>
      </c>
    </row>
    <row r="61" spans="1:5" ht="15" thickBot="1">
      <c r="A61" s="53"/>
      <c r="B61" s="66" t="s">
        <v>117</v>
      </c>
      <c r="C61" s="67"/>
      <c r="D61" s="50"/>
      <c r="E61" s="50"/>
    </row>
    <row r="62" spans="1:5" ht="29.25" customHeight="1" thickBot="1">
      <c r="A62" s="53"/>
      <c r="B62" s="66" t="s">
        <v>157</v>
      </c>
      <c r="C62" s="67">
        <v>91</v>
      </c>
      <c r="D62" s="50"/>
      <c r="E62" s="50"/>
    </row>
    <row r="63" spans="1:5" ht="15" thickBot="1">
      <c r="A63" s="53"/>
      <c r="B63" s="66" t="s">
        <v>158</v>
      </c>
      <c r="C63" s="67">
        <v>92</v>
      </c>
      <c r="D63" s="50">
        <f>1577306.03+766956.337</f>
        <v>2344262.367</v>
      </c>
      <c r="E63" s="50">
        <v>1601764</v>
      </c>
    </row>
    <row r="64" spans="1:5" ht="25.5" customHeight="1" thickBot="1">
      <c r="A64" s="53"/>
      <c r="B64" s="66" t="s">
        <v>122</v>
      </c>
      <c r="C64" s="67">
        <v>93</v>
      </c>
      <c r="D64" s="50"/>
      <c r="E64" s="50"/>
    </row>
    <row r="65" spans="1:5" ht="17.25" customHeight="1" thickBot="1">
      <c r="A65" s="53"/>
      <c r="B65" s="66" t="s">
        <v>123</v>
      </c>
      <c r="C65" s="67">
        <v>94</v>
      </c>
      <c r="D65" s="50">
        <v>1405.779</v>
      </c>
      <c r="E65" s="69">
        <v>224</v>
      </c>
    </row>
    <row r="66" spans="1:7" ht="28.5" customHeight="1" thickBot="1">
      <c r="A66" s="53"/>
      <c r="B66" s="66" t="s">
        <v>159</v>
      </c>
      <c r="C66" s="67">
        <v>100</v>
      </c>
      <c r="D66" s="68">
        <f>SUM(D68:D72)</f>
        <v>1372802</v>
      </c>
      <c r="E66" s="68">
        <f>SUM(E68:E72)</f>
        <v>1239617</v>
      </c>
      <c r="G66" s="11"/>
    </row>
    <row r="67" spans="1:7" ht="18.75" customHeight="1" thickBot="1">
      <c r="A67" s="53"/>
      <c r="B67" s="66" t="s">
        <v>117</v>
      </c>
      <c r="C67" s="67"/>
      <c r="D67" s="50"/>
      <c r="E67" s="50"/>
      <c r="G67" s="11"/>
    </row>
    <row r="68" spans="1:5" ht="19.5" customHeight="1" thickBot="1">
      <c r="A68" s="53"/>
      <c r="B68" s="66" t="s">
        <v>160</v>
      </c>
      <c r="C68" s="67">
        <v>101</v>
      </c>
      <c r="D68" s="50">
        <v>789920</v>
      </c>
      <c r="E68" s="50">
        <v>790190</v>
      </c>
    </row>
    <row r="69" spans="1:5" ht="22.5" customHeight="1" thickBot="1">
      <c r="A69" s="53"/>
      <c r="B69" s="66" t="s">
        <v>128</v>
      </c>
      <c r="C69" s="67">
        <v>102</v>
      </c>
      <c r="D69" s="50"/>
      <c r="E69" s="50"/>
    </row>
    <row r="70" spans="1:5" ht="18" customHeight="1" thickBot="1">
      <c r="A70" s="53"/>
      <c r="B70" s="66" t="s">
        <v>161</v>
      </c>
      <c r="C70" s="67">
        <v>103</v>
      </c>
      <c r="D70" s="50">
        <v>433923</v>
      </c>
      <c r="E70" s="50">
        <v>254613</v>
      </c>
    </row>
    <row r="71" spans="1:5" ht="18.75" customHeight="1" thickBot="1">
      <c r="A71" s="53"/>
      <c r="B71" s="66" t="s">
        <v>162</v>
      </c>
      <c r="C71" s="67">
        <v>104</v>
      </c>
      <c r="D71" s="50"/>
      <c r="E71" s="50"/>
    </row>
    <row r="72" spans="1:5" ht="15" thickBot="1">
      <c r="A72" s="53"/>
      <c r="B72" s="66" t="s">
        <v>163</v>
      </c>
      <c r="C72" s="67">
        <v>105</v>
      </c>
      <c r="D72" s="50">
        <v>148959</v>
      </c>
      <c r="E72" s="50">
        <v>194814</v>
      </c>
    </row>
    <row r="73" spans="1:5" ht="37.5" customHeight="1" thickBot="1">
      <c r="A73" s="53"/>
      <c r="B73" s="66" t="s">
        <v>164</v>
      </c>
      <c r="C73" s="67">
        <v>110</v>
      </c>
      <c r="D73" s="68">
        <f>D60-D66</f>
        <v>972866.1460000002</v>
      </c>
      <c r="E73" s="68">
        <f>E60-E66</f>
        <v>362371</v>
      </c>
    </row>
    <row r="74" spans="1:5" ht="15.75" customHeight="1" thickBot="1">
      <c r="A74" s="53"/>
      <c r="B74" s="66" t="s">
        <v>165</v>
      </c>
      <c r="C74" s="67">
        <v>120</v>
      </c>
      <c r="D74" s="50"/>
      <c r="E74" s="50"/>
    </row>
    <row r="75" spans="1:7" ht="27" customHeight="1" thickBot="1">
      <c r="A75" s="53"/>
      <c r="B75" s="48" t="s">
        <v>166</v>
      </c>
      <c r="C75" s="49">
        <v>130</v>
      </c>
      <c r="D75" s="64">
        <f>D30+D58+D73</f>
        <v>620200.5460000006</v>
      </c>
      <c r="E75" s="64">
        <f>E30+E58+E73</f>
        <v>497867</v>
      </c>
      <c r="F75" s="51"/>
      <c r="G75" s="11"/>
    </row>
    <row r="76" spans="1:5" ht="41.25" customHeight="1" thickBot="1">
      <c r="A76" s="53"/>
      <c r="B76" s="48" t="s">
        <v>167</v>
      </c>
      <c r="C76" s="49">
        <v>140</v>
      </c>
      <c r="D76" s="64">
        <v>1720310</v>
      </c>
      <c r="E76" s="64">
        <v>1222443</v>
      </c>
    </row>
    <row r="77" spans="1:5" ht="39" customHeight="1" thickBot="1">
      <c r="A77" s="53"/>
      <c r="B77" s="48" t="s">
        <v>168</v>
      </c>
      <c r="C77" s="46">
        <v>150</v>
      </c>
      <c r="D77" s="81">
        <f>D76+D75</f>
        <v>2340510.5460000006</v>
      </c>
      <c r="E77" s="81">
        <f>E76+E75</f>
        <v>1720310</v>
      </c>
    </row>
    <row r="78" spans="1:5" ht="14.25">
      <c r="A78" s="53"/>
      <c r="B78" s="63"/>
      <c r="C78" s="79"/>
      <c r="D78" s="82"/>
      <c r="E78" s="83"/>
    </row>
    <row r="79" spans="1:5" ht="15">
      <c r="A79" s="53"/>
      <c r="B79" s="63"/>
      <c r="C79" s="79"/>
      <c r="D79" s="80"/>
      <c r="E79" s="79"/>
    </row>
    <row r="80" spans="2:5" ht="12.75">
      <c r="B80" s="65" t="s">
        <v>63</v>
      </c>
      <c r="C80" s="79"/>
      <c r="D80" s="83"/>
      <c r="E80" s="79"/>
    </row>
    <row r="81" spans="2:5" ht="12.75">
      <c r="B81" s="71"/>
      <c r="C81" s="63"/>
      <c r="D81" s="70"/>
      <c r="E81" s="63"/>
    </row>
    <row r="82" spans="2:5" ht="12.75">
      <c r="B82" s="71" t="s">
        <v>64</v>
      </c>
      <c r="C82" s="63"/>
      <c r="D82" s="63"/>
      <c r="E82" s="63"/>
    </row>
    <row r="83" ht="18">
      <c r="B83" s="84"/>
    </row>
  </sheetData>
  <sheetProtection/>
  <mergeCells count="4">
    <mergeCell ref="B7:C7"/>
    <mergeCell ref="B12:E12"/>
    <mergeCell ref="B31:E31"/>
    <mergeCell ref="B59:E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B1:E37"/>
  <sheetViews>
    <sheetView zoomScalePageLayoutView="0" workbookViewId="0" topLeftCell="A20">
      <selection activeCell="D28" sqref="D28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">
      <c r="B1" s="3"/>
      <c r="C1" s="104"/>
      <c r="D1" s="104" t="s">
        <v>169</v>
      </c>
      <c r="E1" s="92"/>
    </row>
    <row r="2" spans="2:5" ht="15">
      <c r="B2" s="3"/>
      <c r="C2" s="104" t="s">
        <v>1</v>
      </c>
      <c r="D2" s="104"/>
      <c r="E2" s="92"/>
    </row>
    <row r="3" spans="2:5" ht="15">
      <c r="B3" s="3"/>
      <c r="C3" s="104" t="s">
        <v>2</v>
      </c>
      <c r="D3" s="104"/>
      <c r="E3" s="92"/>
    </row>
    <row r="4" spans="2:5" ht="15">
      <c r="B4" s="3"/>
      <c r="C4" s="3"/>
      <c r="D4" s="3"/>
      <c r="E4" s="3"/>
    </row>
    <row r="5" spans="2:5" ht="15.75">
      <c r="B5" s="2" t="s">
        <v>170</v>
      </c>
      <c r="C5" s="3"/>
      <c r="D5" s="3"/>
      <c r="E5" s="3"/>
    </row>
    <row r="6" spans="2:5" ht="15.75">
      <c r="B6" s="2"/>
      <c r="C6" s="3"/>
      <c r="D6" s="3"/>
      <c r="E6" s="3"/>
    </row>
    <row r="7" spans="2:5" ht="15.75">
      <c r="B7" s="4" t="s">
        <v>668</v>
      </c>
      <c r="C7" s="3"/>
      <c r="D7" s="3"/>
      <c r="E7" s="3"/>
    </row>
    <row r="8" spans="2:5" ht="15">
      <c r="B8" s="3"/>
      <c r="C8" s="3"/>
      <c r="D8" s="3"/>
      <c r="E8" s="3"/>
    </row>
    <row r="9" spans="2:5" ht="12.75" customHeight="1">
      <c r="B9" s="3"/>
      <c r="C9" s="3"/>
      <c r="D9" s="3"/>
      <c r="E9" s="62" t="s">
        <v>4</v>
      </c>
    </row>
    <row r="10" spans="2:5" ht="3" customHeight="1" hidden="1">
      <c r="B10" s="3"/>
      <c r="C10" s="3"/>
      <c r="D10" s="3"/>
      <c r="E10" s="3"/>
    </row>
    <row r="11" spans="2:5" ht="15.75" thickBot="1">
      <c r="B11" s="3"/>
      <c r="C11" s="3"/>
      <c r="D11" s="3"/>
      <c r="E11" s="3"/>
    </row>
    <row r="12" spans="2:5" ht="63.75" customHeight="1" thickBot="1">
      <c r="B12" s="5" t="s">
        <v>112</v>
      </c>
      <c r="C12" s="6" t="s">
        <v>6</v>
      </c>
      <c r="D12" s="6" t="s">
        <v>113</v>
      </c>
      <c r="E12" s="6" t="s">
        <v>171</v>
      </c>
    </row>
    <row r="13" spans="2:5" ht="16.5" thickBot="1">
      <c r="B13" s="7" t="s">
        <v>172</v>
      </c>
      <c r="C13" s="8">
        <v>10</v>
      </c>
      <c r="D13" s="93">
        <f>('осв 09'!D152-1140295.18)/1000</f>
        <v>6374361.1639600005</v>
      </c>
      <c r="E13" s="93">
        <v>5780967</v>
      </c>
    </row>
    <row r="14" spans="2:5" ht="34.5" customHeight="1" thickBot="1">
      <c r="B14" s="7" t="s">
        <v>173</v>
      </c>
      <c r="C14" s="8">
        <v>11</v>
      </c>
      <c r="D14" s="101">
        <f>('осв 09'!D181+'осв 09'!D185+'осв 09'!D187)/1000</f>
        <v>4686408.73479</v>
      </c>
      <c r="E14" s="94">
        <v>3801880</v>
      </c>
    </row>
    <row r="15" spans="2:5" ht="30.75" customHeight="1" thickBot="1">
      <c r="B15" s="7" t="s">
        <v>174</v>
      </c>
      <c r="C15" s="8">
        <v>12</v>
      </c>
      <c r="D15" s="72">
        <f>D13-D14</f>
        <v>1687952.4291700004</v>
      </c>
      <c r="E15" s="72">
        <f>E13-E14</f>
        <v>1979087</v>
      </c>
    </row>
    <row r="16" spans="2:5" ht="24.75" customHeight="1" thickBot="1">
      <c r="B16" s="7" t="s">
        <v>175</v>
      </c>
      <c r="C16" s="8">
        <v>13</v>
      </c>
      <c r="D16" s="10">
        <f>'осв 09'!D162/1000</f>
        <v>66056.80004</v>
      </c>
      <c r="E16" s="10">
        <v>56136</v>
      </c>
    </row>
    <row r="17" spans="2:5" ht="21" customHeight="1" thickBot="1">
      <c r="B17" s="7" t="s">
        <v>176</v>
      </c>
      <c r="C17" s="8">
        <v>14</v>
      </c>
      <c r="D17" s="10">
        <f>'осв 09'!D163/1000</f>
        <v>648774.89062</v>
      </c>
      <c r="E17" s="10">
        <v>438767</v>
      </c>
    </row>
    <row r="18" spans="2:5" ht="16.5" thickBot="1">
      <c r="B18" s="7" t="s">
        <v>177</v>
      </c>
      <c r="C18" s="8">
        <v>15</v>
      </c>
      <c r="D18" s="10"/>
      <c r="E18" s="10"/>
    </row>
    <row r="19" spans="2:5" ht="16.5" thickBot="1">
      <c r="B19" s="7" t="s">
        <v>178</v>
      </c>
      <c r="C19" s="8">
        <v>16</v>
      </c>
      <c r="D19" s="10">
        <f>('осв 09'!D158-'осв 09'!D172+1140295.18)/1000</f>
        <v>100160.11186000002</v>
      </c>
      <c r="E19" s="10">
        <v>114796</v>
      </c>
    </row>
    <row r="20" spans="2:5" ht="35.25" customHeight="1" thickBot="1">
      <c r="B20" s="7" t="s">
        <v>179</v>
      </c>
      <c r="C20" s="8">
        <v>20</v>
      </c>
      <c r="D20" s="10">
        <f>D15-D16-D17+D19-D18</f>
        <v>1073280.8503700003</v>
      </c>
      <c r="E20" s="10">
        <f>E15-E16-E17+E19-E18</f>
        <v>1598980</v>
      </c>
    </row>
    <row r="21" spans="2:5" ht="24" customHeight="1" thickBot="1">
      <c r="B21" s="7" t="s">
        <v>180</v>
      </c>
      <c r="C21" s="8">
        <v>21</v>
      </c>
      <c r="D21" s="10">
        <f>'осв 09'!D157/1000</f>
        <v>11948.78486</v>
      </c>
      <c r="E21" s="10">
        <v>3901</v>
      </c>
    </row>
    <row r="22" spans="2:5" ht="29.25" customHeight="1" thickBot="1">
      <c r="B22" s="7" t="s">
        <v>181</v>
      </c>
      <c r="C22" s="8">
        <v>22</v>
      </c>
      <c r="D22" s="10">
        <f>'осв 09'!D167/1000</f>
        <v>214696.16341</v>
      </c>
      <c r="E22" s="10">
        <v>215086</v>
      </c>
    </row>
    <row r="23" spans="2:5" ht="62.25" customHeight="1" thickBot="1">
      <c r="B23" s="7" t="s">
        <v>182</v>
      </c>
      <c r="C23" s="8">
        <v>23</v>
      </c>
      <c r="D23" s="10"/>
      <c r="E23" s="10"/>
    </row>
    <row r="24" spans="2:5" ht="20.25" customHeight="1" thickBot="1">
      <c r="B24" s="7" t="s">
        <v>183</v>
      </c>
      <c r="C24" s="8">
        <v>24</v>
      </c>
      <c r="D24" s="10"/>
      <c r="E24" s="10"/>
    </row>
    <row r="25" spans="2:5" ht="17.25" customHeight="1" thickBot="1">
      <c r="B25" s="7" t="s">
        <v>184</v>
      </c>
      <c r="C25" s="8">
        <v>25</v>
      </c>
      <c r="D25" s="10"/>
      <c r="E25" s="10"/>
    </row>
    <row r="26" spans="2:5" ht="36" customHeight="1" thickBot="1">
      <c r="B26" s="7" t="s">
        <v>185</v>
      </c>
      <c r="C26" s="8">
        <v>100</v>
      </c>
      <c r="D26" s="72">
        <f>D20+D21-D22-D25</f>
        <v>870533.4718200003</v>
      </c>
      <c r="E26" s="72">
        <f>E20+E21-E22-E25</f>
        <v>1387795</v>
      </c>
    </row>
    <row r="27" spans="2:5" ht="23.25" customHeight="1" thickBot="1">
      <c r="B27" s="7" t="s">
        <v>186</v>
      </c>
      <c r="C27" s="5">
        <v>101</v>
      </c>
      <c r="D27" s="95">
        <f>'осв 09'!D178/1000</f>
        <v>170815.503</v>
      </c>
      <c r="E27" s="95">
        <v>267332</v>
      </c>
    </row>
    <row r="28" spans="2:5" ht="54.75" customHeight="1" thickBot="1">
      <c r="B28" s="7" t="s">
        <v>187</v>
      </c>
      <c r="C28" s="8">
        <v>200</v>
      </c>
      <c r="D28" s="10">
        <f>D26-D27</f>
        <v>699717.9688200003</v>
      </c>
      <c r="E28" s="10">
        <f>E26-E27</f>
        <v>1120463</v>
      </c>
    </row>
    <row r="29" spans="2:5" ht="48.75" customHeight="1" thickBot="1">
      <c r="B29" s="7" t="s">
        <v>188</v>
      </c>
      <c r="C29" s="8">
        <v>201</v>
      </c>
      <c r="D29" s="10"/>
      <c r="E29" s="10"/>
    </row>
    <row r="30" spans="2:5" ht="33.75" customHeight="1" thickBot="1">
      <c r="B30" s="7" t="s">
        <v>189</v>
      </c>
      <c r="C30" s="8">
        <v>300</v>
      </c>
      <c r="D30" s="72">
        <f>D28+D29</f>
        <v>699717.9688200003</v>
      </c>
      <c r="E30" s="72">
        <f>E28+E29</f>
        <v>1120463</v>
      </c>
    </row>
    <row r="31" spans="2:5" ht="16.5" thickBot="1">
      <c r="B31" s="7" t="s">
        <v>193</v>
      </c>
      <c r="C31" s="8"/>
      <c r="D31" s="10"/>
      <c r="E31" s="10"/>
    </row>
    <row r="32" spans="2:5" ht="16.5" thickBot="1">
      <c r="B32" s="7" t="s">
        <v>194</v>
      </c>
      <c r="C32" s="8"/>
      <c r="D32" s="10"/>
      <c r="E32" s="10"/>
    </row>
    <row r="33" spans="2:5" ht="15">
      <c r="B33" s="96"/>
      <c r="C33" s="3"/>
      <c r="D33" s="3"/>
      <c r="E33" s="97"/>
    </row>
    <row r="34" spans="2:5" ht="15">
      <c r="B34" s="98" t="s">
        <v>63</v>
      </c>
      <c r="C34" s="3"/>
      <c r="D34" s="3"/>
      <c r="E34" s="97"/>
    </row>
    <row r="35" spans="2:5" ht="15">
      <c r="B35" s="96"/>
      <c r="C35" s="3"/>
      <c r="D35" s="3"/>
      <c r="E35" s="97"/>
    </row>
    <row r="36" spans="2:5" ht="15">
      <c r="B36" s="98" t="s">
        <v>64</v>
      </c>
      <c r="C36" s="3"/>
      <c r="D36" s="3"/>
      <c r="E36" s="97"/>
    </row>
    <row r="37" ht="18">
      <c r="B37" s="8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7:M63"/>
  <sheetViews>
    <sheetView zoomScalePageLayoutView="0" workbookViewId="0" topLeftCell="A44">
      <selection activeCell="K58" sqref="K58"/>
    </sheetView>
  </sheetViews>
  <sheetFormatPr defaultColWidth="9.00390625" defaultRowHeight="12.75"/>
  <cols>
    <col min="1" max="1" width="13.625" style="0" customWidth="1"/>
    <col min="2" max="2" width="25.00390625" style="0" customWidth="1"/>
    <col min="3" max="3" width="15.125" style="0" customWidth="1"/>
    <col min="4" max="4" width="9.75390625" style="0" bestFit="1" customWidth="1"/>
    <col min="5" max="5" width="8.87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8.25390625" style="0" customWidth="1"/>
  </cols>
  <sheetData>
    <row r="1" s="17" customFormat="1" ht="12" customHeight="1"/>
    <row r="2" s="17" customFormat="1" ht="12.75" hidden="1"/>
    <row r="3" s="17" customFormat="1" ht="12.75" hidden="1"/>
    <row r="4" s="17" customFormat="1" ht="12.75" hidden="1"/>
    <row r="5" s="17" customFormat="1" ht="12.75"/>
    <row r="6" s="17" customFormat="1" ht="12.75"/>
    <row r="7" spans="1:8" s="17" customFormat="1" ht="12.75">
      <c r="A7" s="18" t="str">
        <f>+'[1]Ф1'!A1</f>
        <v>Введите название компании</v>
      </c>
      <c r="B7" s="18"/>
      <c r="C7" s="19" t="s">
        <v>65</v>
      </c>
      <c r="D7" s="19"/>
      <c r="E7" s="20"/>
      <c r="F7" s="19"/>
      <c r="G7" s="19"/>
      <c r="H7" s="19"/>
    </row>
    <row r="8" spans="1:8" s="22" customFormat="1" ht="15.75" customHeight="1">
      <c r="A8" s="21" t="s">
        <v>66</v>
      </c>
      <c r="B8" s="373" t="s">
        <v>670</v>
      </c>
      <c r="C8" s="373"/>
      <c r="D8" s="373"/>
      <c r="E8" s="373"/>
      <c r="F8" s="373"/>
      <c r="G8" s="374"/>
      <c r="H8" s="374"/>
    </row>
    <row r="9" s="17" customFormat="1" ht="13.5" thickBot="1"/>
    <row r="10" spans="1:13" s="17" customFormat="1" ht="21.75" customHeight="1" thickBot="1">
      <c r="A10" s="23" t="s">
        <v>67</v>
      </c>
      <c r="B10" s="375"/>
      <c r="C10" s="371" t="s">
        <v>68</v>
      </c>
      <c r="D10" s="371" t="s">
        <v>69</v>
      </c>
      <c r="E10" s="371" t="s">
        <v>70</v>
      </c>
      <c r="F10" s="371" t="s">
        <v>71</v>
      </c>
      <c r="G10" s="371" t="s">
        <v>72</v>
      </c>
      <c r="H10" s="371" t="s">
        <v>73</v>
      </c>
      <c r="I10" s="371" t="s">
        <v>74</v>
      </c>
      <c r="J10" s="371" t="s">
        <v>58</v>
      </c>
      <c r="K10" s="371" t="s">
        <v>75</v>
      </c>
      <c r="L10" s="371" t="s">
        <v>76</v>
      </c>
      <c r="M10" s="372" t="s">
        <v>77</v>
      </c>
    </row>
    <row r="11" spans="1:13" s="17" customFormat="1" ht="63.75" customHeight="1" thickBot="1">
      <c r="A11" s="23"/>
      <c r="B11" s="375"/>
      <c r="C11" s="376"/>
      <c r="D11" s="376"/>
      <c r="E11" s="371"/>
      <c r="F11" s="376"/>
      <c r="G11" s="371"/>
      <c r="H11" s="371"/>
      <c r="I11" s="371"/>
      <c r="J11" s="376"/>
      <c r="K11" s="371"/>
      <c r="L11" s="371"/>
      <c r="M11" s="372"/>
    </row>
    <row r="12" spans="1:13" s="17" customFormat="1" ht="13.5" thickBot="1">
      <c r="A12" s="24"/>
      <c r="B12" s="25"/>
      <c r="C12" s="26" t="s">
        <v>78</v>
      </c>
      <c r="D12" s="26" t="s">
        <v>78</v>
      </c>
      <c r="E12" s="26" t="s">
        <v>78</v>
      </c>
      <c r="F12" s="26" t="s">
        <v>78</v>
      </c>
      <c r="G12" s="26" t="s">
        <v>78</v>
      </c>
      <c r="H12" s="26" t="s">
        <v>78</v>
      </c>
      <c r="I12" s="26" t="s">
        <v>78</v>
      </c>
      <c r="J12" s="26" t="s">
        <v>78</v>
      </c>
      <c r="K12" s="26" t="s">
        <v>78</v>
      </c>
      <c r="L12" s="26" t="s">
        <v>78</v>
      </c>
      <c r="M12" s="26" t="s">
        <v>78</v>
      </c>
    </row>
    <row r="13" spans="1:13" s="17" customFormat="1" ht="24.75" customHeight="1" thickBot="1">
      <c r="A13" s="27"/>
      <c r="B13" s="28" t="s">
        <v>190</v>
      </c>
      <c r="C13" s="56">
        <v>1712762</v>
      </c>
      <c r="D13" s="56">
        <v>-38924</v>
      </c>
      <c r="E13" s="56"/>
      <c r="F13" s="56">
        <v>8443674</v>
      </c>
      <c r="G13" s="56"/>
      <c r="H13" s="56"/>
      <c r="I13" s="56"/>
      <c r="J13" s="56">
        <v>3428770</v>
      </c>
      <c r="K13" s="57">
        <f>SUM(C13:J13)</f>
        <v>13546282</v>
      </c>
      <c r="L13" s="56"/>
      <c r="M13" s="57">
        <f aca="true" t="shared" si="0" ref="M13:M34">+K13+L13</f>
        <v>13546282</v>
      </c>
    </row>
    <row r="14" spans="1:13" s="17" customFormat="1" ht="39.75" customHeight="1" thickBot="1">
      <c r="A14" s="27" t="s">
        <v>79</v>
      </c>
      <c r="B14" s="29" t="s">
        <v>80</v>
      </c>
      <c r="C14" s="58"/>
      <c r="D14" s="58"/>
      <c r="E14" s="58"/>
      <c r="F14" s="58"/>
      <c r="G14" s="58"/>
      <c r="H14" s="58"/>
      <c r="I14" s="58"/>
      <c r="J14" s="58"/>
      <c r="K14" s="59">
        <f aca="true" t="shared" si="1" ref="K14:K34">+SUM(C14:J14)</f>
        <v>0</v>
      </c>
      <c r="L14" s="58"/>
      <c r="M14" s="59">
        <f t="shared" si="0"/>
        <v>0</v>
      </c>
    </row>
    <row r="15" spans="1:13" s="17" customFormat="1" ht="34.5" customHeight="1" thickBot="1">
      <c r="A15" s="27" t="s">
        <v>79</v>
      </c>
      <c r="B15" s="29" t="s">
        <v>81</v>
      </c>
      <c r="C15" s="58"/>
      <c r="D15" s="58"/>
      <c r="E15" s="58"/>
      <c r="F15" s="58"/>
      <c r="G15" s="58"/>
      <c r="H15" s="58"/>
      <c r="I15" s="58"/>
      <c r="J15" s="58"/>
      <c r="K15" s="59">
        <f t="shared" si="1"/>
        <v>0</v>
      </c>
      <c r="L15" s="58"/>
      <c r="M15" s="59">
        <f t="shared" si="0"/>
        <v>0</v>
      </c>
    </row>
    <row r="16" spans="1:13" s="17" customFormat="1" ht="51.75" customHeight="1" thickBot="1">
      <c r="A16" s="27" t="s">
        <v>79</v>
      </c>
      <c r="B16" s="29" t="s">
        <v>82</v>
      </c>
      <c r="C16" s="58"/>
      <c r="D16" s="58"/>
      <c r="E16" s="58"/>
      <c r="F16" s="58"/>
      <c r="G16" s="58"/>
      <c r="H16" s="58"/>
      <c r="I16" s="58"/>
      <c r="J16" s="58"/>
      <c r="K16" s="59">
        <f t="shared" si="1"/>
        <v>0</v>
      </c>
      <c r="L16" s="58"/>
      <c r="M16" s="59">
        <f t="shared" si="0"/>
        <v>0</v>
      </c>
    </row>
    <row r="17" spans="1:13" s="17" customFormat="1" ht="29.25" customHeight="1" thickBot="1">
      <c r="A17" s="27" t="s">
        <v>83</v>
      </c>
      <c r="B17" s="29" t="s">
        <v>84</v>
      </c>
      <c r="C17" s="58"/>
      <c r="D17" s="58"/>
      <c r="E17" s="58"/>
      <c r="F17" s="58"/>
      <c r="G17" s="58"/>
      <c r="H17" s="58"/>
      <c r="I17" s="58"/>
      <c r="J17" s="58"/>
      <c r="K17" s="59">
        <f>+SUM(C17:J17)</f>
        <v>0</v>
      </c>
      <c r="L17" s="58"/>
      <c r="M17" s="59">
        <f t="shared" si="0"/>
        <v>0</v>
      </c>
    </row>
    <row r="18" spans="1:13" s="17" customFormat="1" ht="29.25" customHeight="1" thickBot="1">
      <c r="A18" s="27" t="s">
        <v>79</v>
      </c>
      <c r="B18" s="29" t="s">
        <v>85</v>
      </c>
      <c r="C18" s="58"/>
      <c r="D18" s="58"/>
      <c r="E18" s="58"/>
      <c r="F18" s="58"/>
      <c r="G18" s="58"/>
      <c r="H18" s="58"/>
      <c r="I18" s="58"/>
      <c r="J18" s="58"/>
      <c r="K18" s="59">
        <f t="shared" si="1"/>
        <v>0</v>
      </c>
      <c r="L18" s="58"/>
      <c r="M18" s="59">
        <f t="shared" si="0"/>
        <v>0</v>
      </c>
    </row>
    <row r="19" spans="1:13" s="17" customFormat="1" ht="40.5" customHeight="1" thickBot="1">
      <c r="A19" s="27" t="s">
        <v>79</v>
      </c>
      <c r="B19" s="28" t="s">
        <v>86</v>
      </c>
      <c r="C19" s="59">
        <f aca="true" t="shared" si="2" ref="C19:J19">+SUM(C14:C18)</f>
        <v>0</v>
      </c>
      <c r="D19" s="59">
        <f t="shared" si="2"/>
        <v>0</v>
      </c>
      <c r="E19" s="59">
        <f t="shared" si="2"/>
        <v>0</v>
      </c>
      <c r="F19" s="59"/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1"/>
        <v>0</v>
      </c>
      <c r="L19" s="59">
        <f>+SUM(L14:L18)</f>
        <v>0</v>
      </c>
      <c r="M19" s="59">
        <f t="shared" si="0"/>
        <v>0</v>
      </c>
    </row>
    <row r="20" spans="1:13" s="17" customFormat="1" ht="27.75" customHeight="1" thickBot="1">
      <c r="A20" s="27"/>
      <c r="B20" s="29" t="s">
        <v>87</v>
      </c>
      <c r="C20" s="58"/>
      <c r="D20" s="58"/>
      <c r="E20" s="58"/>
      <c r="F20" s="58"/>
      <c r="G20" s="58"/>
      <c r="H20" s="58"/>
      <c r="I20" s="58"/>
      <c r="J20" s="58"/>
      <c r="K20" s="59">
        <f t="shared" si="1"/>
        <v>0</v>
      </c>
      <c r="L20" s="58"/>
      <c r="M20" s="59">
        <f t="shared" si="0"/>
        <v>0</v>
      </c>
    </row>
    <row r="21" spans="1:13" s="17" customFormat="1" ht="46.5" customHeight="1" thickBot="1">
      <c r="A21" s="27" t="s">
        <v>88</v>
      </c>
      <c r="B21" s="29" t="s">
        <v>89</v>
      </c>
      <c r="C21" s="58"/>
      <c r="D21" s="58"/>
      <c r="E21" s="58"/>
      <c r="F21" s="58"/>
      <c r="G21" s="58"/>
      <c r="H21" s="58"/>
      <c r="I21" s="58"/>
      <c r="J21" s="58"/>
      <c r="K21" s="59">
        <f t="shared" si="1"/>
        <v>0</v>
      </c>
      <c r="L21" s="58"/>
      <c r="M21" s="59">
        <f t="shared" si="0"/>
        <v>0</v>
      </c>
    </row>
    <row r="22" spans="1:13" s="17" customFormat="1" ht="70.5" customHeight="1" thickBot="1">
      <c r="A22" s="27" t="s">
        <v>90</v>
      </c>
      <c r="B22" s="29" t="s">
        <v>91</v>
      </c>
      <c r="C22" s="58"/>
      <c r="D22" s="58"/>
      <c r="E22" s="58"/>
      <c r="F22" s="58"/>
      <c r="G22" s="58"/>
      <c r="H22" s="58"/>
      <c r="I22" s="58"/>
      <c r="J22" s="58"/>
      <c r="K22" s="59">
        <f t="shared" si="1"/>
        <v>0</v>
      </c>
      <c r="L22" s="58"/>
      <c r="M22" s="59">
        <f t="shared" si="0"/>
        <v>0</v>
      </c>
    </row>
    <row r="23" spans="1:13" s="17" customFormat="1" ht="37.5" customHeight="1" thickBot="1">
      <c r="A23" s="27"/>
      <c r="B23" s="29" t="s">
        <v>92</v>
      </c>
      <c r="C23" s="58"/>
      <c r="D23" s="58"/>
      <c r="E23" s="58"/>
      <c r="F23" s="58">
        <v>-689218.527</v>
      </c>
      <c r="G23" s="58"/>
      <c r="H23" s="58"/>
      <c r="I23" s="58"/>
      <c r="J23" s="58">
        <v>689218.527</v>
      </c>
      <c r="K23" s="59">
        <f t="shared" si="1"/>
        <v>0</v>
      </c>
      <c r="L23" s="58"/>
      <c r="M23" s="59">
        <f t="shared" si="0"/>
        <v>0</v>
      </c>
    </row>
    <row r="24" spans="1:13" s="17" customFormat="1" ht="16.5" customHeight="1" thickBot="1">
      <c r="A24" s="27"/>
      <c r="B24" s="29" t="s">
        <v>93</v>
      </c>
      <c r="C24" s="58"/>
      <c r="D24" s="58"/>
      <c r="E24" s="58"/>
      <c r="F24" s="58"/>
      <c r="G24" s="58"/>
      <c r="H24" s="58"/>
      <c r="I24" s="58"/>
      <c r="J24" s="58"/>
      <c r="K24" s="59">
        <f t="shared" si="1"/>
        <v>0</v>
      </c>
      <c r="L24" s="58"/>
      <c r="M24" s="59">
        <f t="shared" si="0"/>
        <v>0</v>
      </c>
    </row>
    <row r="25" spans="1:13" s="17" customFormat="1" ht="26.25" customHeight="1" thickBot="1">
      <c r="A25" s="27" t="s">
        <v>94</v>
      </c>
      <c r="B25" s="30" t="s">
        <v>95</v>
      </c>
      <c r="C25" s="58"/>
      <c r="D25" s="58"/>
      <c r="E25" s="58"/>
      <c r="F25" s="58"/>
      <c r="G25" s="58"/>
      <c r="H25" s="58"/>
      <c r="I25" s="58"/>
      <c r="J25" s="60">
        <v>1156627.527</v>
      </c>
      <c r="K25" s="59">
        <f t="shared" si="1"/>
        <v>1156627.527</v>
      </c>
      <c r="L25" s="58"/>
      <c r="M25" s="59">
        <f t="shared" si="0"/>
        <v>1156627.527</v>
      </c>
    </row>
    <row r="26" spans="1:13" s="17" customFormat="1" ht="23.25" thickBot="1">
      <c r="A26" s="27" t="s">
        <v>96</v>
      </c>
      <c r="B26" s="28" t="s">
        <v>97</v>
      </c>
      <c r="C26" s="58">
        <f aca="true" t="shared" si="3" ref="C26:I26">+SUM(C19:C25)</f>
        <v>0</v>
      </c>
      <c r="D26" s="58">
        <f t="shared" si="3"/>
        <v>0</v>
      </c>
      <c r="E26" s="58">
        <f t="shared" si="3"/>
        <v>0</v>
      </c>
      <c r="F26" s="58">
        <f>+SUM(F19:F25)</f>
        <v>-689218.527</v>
      </c>
      <c r="G26" s="58">
        <f t="shared" si="3"/>
        <v>0</v>
      </c>
      <c r="H26" s="58">
        <f t="shared" si="3"/>
        <v>0</v>
      </c>
      <c r="I26" s="58">
        <f t="shared" si="3"/>
        <v>0</v>
      </c>
      <c r="J26" s="60">
        <f>+SUM(J19:J25)</f>
        <v>1845846.054</v>
      </c>
      <c r="K26" s="59">
        <f>+SUM(C26:J26)</f>
        <v>1156627.527</v>
      </c>
      <c r="L26" s="58">
        <f>+SUM(L19:L25)</f>
        <v>0</v>
      </c>
      <c r="M26" s="59">
        <f>+K26+L26</f>
        <v>1156627.527</v>
      </c>
    </row>
    <row r="27" spans="1:13" s="17" customFormat="1" ht="25.5" customHeight="1" thickBot="1">
      <c r="A27" s="27" t="s">
        <v>98</v>
      </c>
      <c r="B27" s="29" t="s">
        <v>99</v>
      </c>
      <c r="C27" s="58"/>
      <c r="D27" s="58"/>
      <c r="E27" s="58"/>
      <c r="F27" s="58"/>
      <c r="G27" s="58"/>
      <c r="H27" s="58"/>
      <c r="I27" s="58"/>
      <c r="J27" s="58"/>
      <c r="K27" s="59">
        <f t="shared" si="1"/>
        <v>0</v>
      </c>
      <c r="L27" s="58"/>
      <c r="M27" s="59">
        <f t="shared" si="0"/>
        <v>0</v>
      </c>
    </row>
    <row r="28" spans="1:13" s="17" customFormat="1" ht="25.5" customHeight="1" thickBot="1">
      <c r="A28" s="27"/>
      <c r="B28" s="29" t="s">
        <v>100</v>
      </c>
      <c r="C28" s="58"/>
      <c r="D28" s="58"/>
      <c r="E28" s="58"/>
      <c r="F28" s="58"/>
      <c r="G28" s="58"/>
      <c r="H28" s="58"/>
      <c r="I28" s="58"/>
      <c r="J28" s="58"/>
      <c r="K28" s="59">
        <f t="shared" si="1"/>
        <v>0</v>
      </c>
      <c r="L28" s="58"/>
      <c r="M28" s="59">
        <f t="shared" si="0"/>
        <v>0</v>
      </c>
    </row>
    <row r="29" spans="1:13" s="17" customFormat="1" ht="27" customHeight="1" thickBot="1">
      <c r="A29" s="27" t="s">
        <v>98</v>
      </c>
      <c r="B29" s="29" t="s">
        <v>101</v>
      </c>
      <c r="C29" s="58"/>
      <c r="D29" s="58"/>
      <c r="E29" s="58"/>
      <c r="F29" s="58"/>
      <c r="G29" s="58"/>
      <c r="H29" s="58"/>
      <c r="I29" s="58"/>
      <c r="J29" s="58"/>
      <c r="K29" s="59">
        <f t="shared" si="1"/>
        <v>0</v>
      </c>
      <c r="L29" s="58"/>
      <c r="M29" s="59">
        <f t="shared" si="0"/>
        <v>0</v>
      </c>
    </row>
    <row r="30" spans="1:13" s="17" customFormat="1" ht="23.25" customHeight="1" thickBot="1">
      <c r="A30" s="27" t="s">
        <v>98</v>
      </c>
      <c r="B30" s="29" t="s">
        <v>102</v>
      </c>
      <c r="C30" s="58"/>
      <c r="D30" s="58"/>
      <c r="E30" s="58"/>
      <c r="F30" s="58"/>
      <c r="G30" s="58"/>
      <c r="H30" s="58"/>
      <c r="I30" s="58"/>
      <c r="J30" s="58"/>
      <c r="K30" s="59">
        <f t="shared" si="1"/>
        <v>0</v>
      </c>
      <c r="L30" s="58"/>
      <c r="M30" s="59">
        <f t="shared" si="0"/>
        <v>0</v>
      </c>
    </row>
    <row r="31" spans="1:13" s="17" customFormat="1" ht="27.75" customHeight="1" thickBot="1">
      <c r="A31" s="27" t="s">
        <v>98</v>
      </c>
      <c r="B31" s="29" t="s">
        <v>103</v>
      </c>
      <c r="C31" s="58"/>
      <c r="D31" s="58"/>
      <c r="E31" s="58"/>
      <c r="F31" s="58"/>
      <c r="G31" s="58"/>
      <c r="H31" s="58"/>
      <c r="I31" s="58"/>
      <c r="J31" s="58"/>
      <c r="K31" s="59">
        <f t="shared" si="1"/>
        <v>0</v>
      </c>
      <c r="L31" s="58"/>
      <c r="M31" s="59">
        <f t="shared" si="0"/>
        <v>0</v>
      </c>
    </row>
    <row r="32" spans="1:13" s="17" customFormat="1" ht="25.5" customHeight="1" thickBot="1">
      <c r="A32" s="27"/>
      <c r="B32" s="29" t="s">
        <v>104</v>
      </c>
      <c r="C32" s="58"/>
      <c r="D32" s="58"/>
      <c r="E32" s="58"/>
      <c r="F32" s="58"/>
      <c r="G32" s="58"/>
      <c r="H32" s="58"/>
      <c r="I32" s="58"/>
      <c r="J32" s="58"/>
      <c r="K32" s="59">
        <f t="shared" si="1"/>
        <v>0</v>
      </c>
      <c r="L32" s="58"/>
      <c r="M32" s="59">
        <f t="shared" si="0"/>
        <v>0</v>
      </c>
    </row>
    <row r="33" spans="1:13" s="17" customFormat="1" ht="35.25" customHeight="1" thickBot="1">
      <c r="A33" s="27" t="s">
        <v>98</v>
      </c>
      <c r="B33" s="29" t="s">
        <v>105</v>
      </c>
      <c r="C33" s="58"/>
      <c r="D33" s="58"/>
      <c r="E33" s="58"/>
      <c r="F33" s="58"/>
      <c r="G33" s="58"/>
      <c r="H33" s="58"/>
      <c r="I33" s="58"/>
      <c r="J33" s="58"/>
      <c r="K33" s="59">
        <f t="shared" si="1"/>
        <v>0</v>
      </c>
      <c r="L33" s="58"/>
      <c r="M33" s="59">
        <f t="shared" si="0"/>
        <v>0</v>
      </c>
    </row>
    <row r="34" spans="1:13" s="17" customFormat="1" ht="27" customHeight="1" thickBot="1">
      <c r="A34" s="27" t="s">
        <v>98</v>
      </c>
      <c r="B34" s="29" t="s">
        <v>106</v>
      </c>
      <c r="C34" s="58"/>
      <c r="D34" s="58"/>
      <c r="E34" s="58"/>
      <c r="F34" s="58"/>
      <c r="G34" s="58"/>
      <c r="H34" s="58"/>
      <c r="I34" s="58"/>
      <c r="J34" s="58">
        <v>-249924.527</v>
      </c>
      <c r="K34" s="59">
        <f t="shared" si="1"/>
        <v>-249924.527</v>
      </c>
      <c r="L34" s="58"/>
      <c r="M34" s="59">
        <f t="shared" si="0"/>
        <v>-249924.527</v>
      </c>
    </row>
    <row r="35" spans="1:13" s="17" customFormat="1" ht="26.25" customHeight="1" thickBot="1">
      <c r="A35" s="31"/>
      <c r="B35" s="32" t="s">
        <v>381</v>
      </c>
      <c r="C35" s="56">
        <f aca="true" t="shared" si="4" ref="C35:J35">+C13+C26+SUM(C27:C34)</f>
        <v>1712762</v>
      </c>
      <c r="D35" s="56">
        <f t="shared" si="4"/>
        <v>-38924</v>
      </c>
      <c r="E35" s="56">
        <f t="shared" si="4"/>
        <v>0</v>
      </c>
      <c r="F35" s="56">
        <f t="shared" si="4"/>
        <v>7754455.473</v>
      </c>
      <c r="G35" s="56">
        <f t="shared" si="4"/>
        <v>0</v>
      </c>
      <c r="H35" s="56">
        <f t="shared" si="4"/>
        <v>0</v>
      </c>
      <c r="I35" s="56">
        <f t="shared" si="4"/>
        <v>0</v>
      </c>
      <c r="J35" s="56">
        <f t="shared" si="4"/>
        <v>5024691.527</v>
      </c>
      <c r="K35" s="57">
        <f>+SUM(C35:J35)</f>
        <v>14452985</v>
      </c>
      <c r="L35" s="56">
        <f>+L13+L26+SUM(L27:L34)</f>
        <v>0</v>
      </c>
      <c r="M35" s="57">
        <f>+K35+L35</f>
        <v>14452985</v>
      </c>
    </row>
    <row r="36" spans="1:13" s="33" customFormat="1" ht="32.25" customHeight="1" thickBot="1">
      <c r="A36" s="31"/>
      <c r="B36" s="32" t="s">
        <v>382</v>
      </c>
      <c r="C36" s="56">
        <f>C35</f>
        <v>1712762</v>
      </c>
      <c r="D36" s="56">
        <f aca="true" t="shared" si="5" ref="D36:L36">D35</f>
        <v>-38924</v>
      </c>
      <c r="E36" s="56">
        <f t="shared" si="5"/>
        <v>0</v>
      </c>
      <c r="F36" s="56">
        <f>F35</f>
        <v>7754455.473</v>
      </c>
      <c r="G36" s="56">
        <f t="shared" si="5"/>
        <v>0</v>
      </c>
      <c r="H36" s="56">
        <f t="shared" si="5"/>
        <v>0</v>
      </c>
      <c r="I36" s="56">
        <f t="shared" si="5"/>
        <v>0</v>
      </c>
      <c r="J36" s="56">
        <v>5024691.277</v>
      </c>
      <c r="K36" s="57">
        <f>+SUM(C36:J36)</f>
        <v>14452984.75</v>
      </c>
      <c r="L36" s="56">
        <f t="shared" si="5"/>
        <v>0</v>
      </c>
      <c r="M36" s="57">
        <f>+K36+L36</f>
        <v>14452984.75</v>
      </c>
    </row>
    <row r="37" spans="1:13" s="17" customFormat="1" ht="39.75" customHeight="1" thickBot="1">
      <c r="A37" s="27" t="s">
        <v>79</v>
      </c>
      <c r="B37" s="29" t="s">
        <v>80</v>
      </c>
      <c r="C37" s="58"/>
      <c r="D37" s="58"/>
      <c r="E37" s="58"/>
      <c r="F37" s="58"/>
      <c r="G37" s="58"/>
      <c r="H37" s="58"/>
      <c r="I37" s="58"/>
      <c r="J37" s="58"/>
      <c r="K37" s="59">
        <f aca="true" t="shared" si="6" ref="K37:K57">+SUM(C37:J37)</f>
        <v>0</v>
      </c>
      <c r="L37" s="58"/>
      <c r="M37" s="59">
        <f>+K37+L37</f>
        <v>0</v>
      </c>
    </row>
    <row r="38" spans="1:13" s="17" customFormat="1" ht="34.5" customHeight="1" thickBot="1">
      <c r="A38" s="27" t="s">
        <v>79</v>
      </c>
      <c r="B38" s="29" t="s">
        <v>81</v>
      </c>
      <c r="C38" s="58"/>
      <c r="D38" s="58"/>
      <c r="E38" s="58"/>
      <c r="F38" s="58"/>
      <c r="G38" s="58"/>
      <c r="H38" s="58"/>
      <c r="I38" s="58"/>
      <c r="J38" s="58"/>
      <c r="K38" s="59">
        <f t="shared" si="6"/>
        <v>0</v>
      </c>
      <c r="L38" s="58"/>
      <c r="M38" s="59">
        <f aca="true" t="shared" si="7" ref="M38:M57">+K38+L38</f>
        <v>0</v>
      </c>
    </row>
    <row r="39" spans="1:13" s="17" customFormat="1" ht="51.75" customHeight="1" thickBot="1">
      <c r="A39" s="27" t="s">
        <v>79</v>
      </c>
      <c r="B39" s="29" t="s">
        <v>82</v>
      </c>
      <c r="C39" s="58"/>
      <c r="D39" s="58"/>
      <c r="E39" s="58"/>
      <c r="F39" s="58"/>
      <c r="G39" s="58"/>
      <c r="H39" s="58"/>
      <c r="I39" s="58"/>
      <c r="J39" s="58"/>
      <c r="K39" s="59">
        <f t="shared" si="6"/>
        <v>0</v>
      </c>
      <c r="L39" s="58"/>
      <c r="M39" s="59">
        <f t="shared" si="7"/>
        <v>0</v>
      </c>
    </row>
    <row r="40" spans="1:13" s="17" customFormat="1" ht="29.25" customHeight="1" thickBot="1">
      <c r="A40" s="27" t="s">
        <v>83</v>
      </c>
      <c r="B40" s="29" t="s">
        <v>84</v>
      </c>
      <c r="C40" s="58"/>
      <c r="D40" s="58"/>
      <c r="E40" s="58"/>
      <c r="F40" s="58"/>
      <c r="G40" s="58"/>
      <c r="H40" s="58"/>
      <c r="I40" s="58"/>
      <c r="J40" s="58"/>
      <c r="K40" s="59">
        <f t="shared" si="6"/>
        <v>0</v>
      </c>
      <c r="L40" s="58"/>
      <c r="M40" s="59">
        <f t="shared" si="7"/>
        <v>0</v>
      </c>
    </row>
    <row r="41" spans="1:13" s="17" customFormat="1" ht="29.25" customHeight="1" thickBot="1">
      <c r="A41" s="27" t="s">
        <v>79</v>
      </c>
      <c r="B41" s="29" t="s">
        <v>85</v>
      </c>
      <c r="C41" s="58"/>
      <c r="D41" s="58"/>
      <c r="E41" s="58"/>
      <c r="F41" s="58"/>
      <c r="G41" s="58"/>
      <c r="H41" s="58"/>
      <c r="I41" s="58"/>
      <c r="J41" s="58"/>
      <c r="K41" s="59">
        <f t="shared" si="6"/>
        <v>0</v>
      </c>
      <c r="L41" s="58"/>
      <c r="M41" s="59">
        <f t="shared" si="7"/>
        <v>0</v>
      </c>
    </row>
    <row r="42" spans="1:13" s="17" customFormat="1" ht="40.5" customHeight="1" thickBot="1">
      <c r="A42" s="27" t="s">
        <v>79</v>
      </c>
      <c r="B42" s="28" t="s">
        <v>86</v>
      </c>
      <c r="C42" s="59">
        <f aca="true" t="shared" si="8" ref="C42:J42">+SUM(C37:C41)</f>
        <v>0</v>
      </c>
      <c r="D42" s="59">
        <f t="shared" si="8"/>
        <v>0</v>
      </c>
      <c r="E42" s="59">
        <f t="shared" si="8"/>
        <v>0</v>
      </c>
      <c r="F42" s="59">
        <f>+SUM(F37:F41)</f>
        <v>0</v>
      </c>
      <c r="G42" s="59">
        <f t="shared" si="8"/>
        <v>0</v>
      </c>
      <c r="H42" s="59">
        <f t="shared" si="8"/>
        <v>0</v>
      </c>
      <c r="I42" s="59">
        <f t="shared" si="8"/>
        <v>0</v>
      </c>
      <c r="J42" s="59">
        <f t="shared" si="8"/>
        <v>0</v>
      </c>
      <c r="K42" s="59">
        <f t="shared" si="6"/>
        <v>0</v>
      </c>
      <c r="L42" s="59">
        <f>+SUM(L37:L41)</f>
        <v>0</v>
      </c>
      <c r="M42" s="59">
        <f t="shared" si="7"/>
        <v>0</v>
      </c>
    </row>
    <row r="43" spans="1:13" s="17" customFormat="1" ht="27.75" customHeight="1" thickBot="1">
      <c r="A43" s="27"/>
      <c r="B43" s="29" t="s">
        <v>87</v>
      </c>
      <c r="C43" s="58"/>
      <c r="D43" s="58"/>
      <c r="E43" s="58"/>
      <c r="F43" s="58"/>
      <c r="G43" s="58"/>
      <c r="H43" s="58"/>
      <c r="I43" s="58"/>
      <c r="J43" s="58"/>
      <c r="K43" s="59">
        <f t="shared" si="6"/>
        <v>0</v>
      </c>
      <c r="L43" s="58"/>
      <c r="M43" s="59">
        <f t="shared" si="7"/>
        <v>0</v>
      </c>
    </row>
    <row r="44" spans="1:13" s="17" customFormat="1" ht="56.25" customHeight="1" thickBot="1">
      <c r="A44" s="27" t="s">
        <v>88</v>
      </c>
      <c r="B44" s="29" t="s">
        <v>89</v>
      </c>
      <c r="C44" s="58"/>
      <c r="D44" s="58"/>
      <c r="E44" s="58"/>
      <c r="F44" s="58"/>
      <c r="G44" s="58"/>
      <c r="H44" s="58"/>
      <c r="I44" s="58"/>
      <c r="J44" s="58"/>
      <c r="K44" s="59">
        <f t="shared" si="6"/>
        <v>0</v>
      </c>
      <c r="L44" s="58"/>
      <c r="M44" s="59">
        <f t="shared" si="7"/>
        <v>0</v>
      </c>
    </row>
    <row r="45" spans="1:13" s="17" customFormat="1" ht="70.5" customHeight="1" thickBot="1">
      <c r="A45" s="27" t="s">
        <v>90</v>
      </c>
      <c r="B45" s="29" t="s">
        <v>91</v>
      </c>
      <c r="C45" s="58"/>
      <c r="D45" s="58"/>
      <c r="E45" s="58"/>
      <c r="F45" s="58"/>
      <c r="G45" s="58"/>
      <c r="H45" s="58"/>
      <c r="I45" s="58"/>
      <c r="J45" s="58"/>
      <c r="K45" s="59">
        <f t="shared" si="6"/>
        <v>0</v>
      </c>
      <c r="L45" s="58"/>
      <c r="M45" s="59">
        <f t="shared" si="7"/>
        <v>0</v>
      </c>
    </row>
    <row r="46" spans="1:13" s="17" customFormat="1" ht="37.5" customHeight="1" thickBot="1">
      <c r="A46" s="34"/>
      <c r="B46" s="29" t="s">
        <v>92</v>
      </c>
      <c r="C46" s="58"/>
      <c r="D46" s="58"/>
      <c r="E46" s="58"/>
      <c r="F46" s="58">
        <v>-517543.915</v>
      </c>
      <c r="G46" s="58"/>
      <c r="H46" s="58"/>
      <c r="I46" s="58"/>
      <c r="J46" s="58">
        <v>517543.915</v>
      </c>
      <c r="K46" s="59"/>
      <c r="L46" s="58"/>
      <c r="M46" s="59"/>
    </row>
    <row r="47" spans="1:13" s="17" customFormat="1" ht="15" thickBot="1">
      <c r="A47" s="34"/>
      <c r="B47" s="29" t="s">
        <v>93</v>
      </c>
      <c r="C47" s="58"/>
      <c r="D47" s="58"/>
      <c r="E47" s="58"/>
      <c r="F47" s="58"/>
      <c r="G47" s="58"/>
      <c r="H47" s="58"/>
      <c r="I47" s="58"/>
      <c r="J47" s="58"/>
      <c r="K47" s="59">
        <f t="shared" si="6"/>
        <v>0</v>
      </c>
      <c r="L47" s="58"/>
      <c r="M47" s="59">
        <f t="shared" si="7"/>
        <v>0</v>
      </c>
    </row>
    <row r="48" spans="1:13" s="17" customFormat="1" ht="26.25" customHeight="1" thickBot="1">
      <c r="A48" s="27" t="s">
        <v>94</v>
      </c>
      <c r="B48" s="30" t="s">
        <v>95</v>
      </c>
      <c r="C48" s="58"/>
      <c r="D48" s="58"/>
      <c r="E48" s="58"/>
      <c r="F48" s="58"/>
      <c r="G48" s="58"/>
      <c r="H48" s="58"/>
      <c r="I48" s="58"/>
      <c r="J48" s="60">
        <f>699717.968</f>
        <v>699717.968</v>
      </c>
      <c r="K48" s="59">
        <f t="shared" si="6"/>
        <v>699717.968</v>
      </c>
      <c r="L48" s="58"/>
      <c r="M48" s="59">
        <f t="shared" si="7"/>
        <v>699717.968</v>
      </c>
    </row>
    <row r="49" spans="1:13" s="17" customFormat="1" ht="23.25" thickBot="1">
      <c r="A49" s="27" t="s">
        <v>96</v>
      </c>
      <c r="B49" s="28" t="s">
        <v>97</v>
      </c>
      <c r="C49" s="58">
        <f aca="true" t="shared" si="9" ref="C49:I49">+SUM(C42:C48)</f>
        <v>0</v>
      </c>
      <c r="D49" s="58">
        <f t="shared" si="9"/>
        <v>0</v>
      </c>
      <c r="E49" s="58">
        <f t="shared" si="9"/>
        <v>0</v>
      </c>
      <c r="F49" s="58">
        <f>+SUM(F42:F48)</f>
        <v>-517543.915</v>
      </c>
      <c r="G49" s="58">
        <f t="shared" si="9"/>
        <v>0</v>
      </c>
      <c r="H49" s="58">
        <f t="shared" si="9"/>
        <v>0</v>
      </c>
      <c r="I49" s="58">
        <f t="shared" si="9"/>
        <v>0</v>
      </c>
      <c r="J49" s="60">
        <f>+SUM(J42:J48)</f>
        <v>1217261.883</v>
      </c>
      <c r="K49" s="59">
        <f>+SUM(C49:J49)</f>
        <v>699717.9679999999</v>
      </c>
      <c r="L49" s="58">
        <f>+SUM(L42:L48)</f>
        <v>0</v>
      </c>
      <c r="M49" s="59">
        <f>+K49+L49</f>
        <v>699717.9679999999</v>
      </c>
    </row>
    <row r="50" spans="1:13" s="17" customFormat="1" ht="25.5" customHeight="1" thickBot="1">
      <c r="A50" s="27" t="s">
        <v>98</v>
      </c>
      <c r="B50" s="29" t="s">
        <v>99</v>
      </c>
      <c r="C50" s="58"/>
      <c r="D50" s="58"/>
      <c r="E50" s="58"/>
      <c r="F50" s="58"/>
      <c r="G50" s="58"/>
      <c r="H50" s="58"/>
      <c r="I50" s="58"/>
      <c r="J50" s="58"/>
      <c r="K50" s="59">
        <f t="shared" si="6"/>
        <v>0</v>
      </c>
      <c r="L50" s="58"/>
      <c r="M50" s="59">
        <f t="shared" si="7"/>
        <v>0</v>
      </c>
    </row>
    <row r="51" spans="1:13" s="17" customFormat="1" ht="25.5" customHeight="1" thickBot="1">
      <c r="A51" s="27"/>
      <c r="B51" s="29" t="s">
        <v>100</v>
      </c>
      <c r="C51" s="58"/>
      <c r="D51" s="58"/>
      <c r="E51" s="58"/>
      <c r="F51" s="58"/>
      <c r="G51" s="58"/>
      <c r="H51" s="58"/>
      <c r="I51" s="58"/>
      <c r="J51" s="58"/>
      <c r="K51" s="59">
        <f t="shared" si="6"/>
        <v>0</v>
      </c>
      <c r="L51" s="58"/>
      <c r="M51" s="59">
        <f t="shared" si="7"/>
        <v>0</v>
      </c>
    </row>
    <row r="52" spans="1:13" s="17" customFormat="1" ht="27" customHeight="1" thickBot="1">
      <c r="A52" s="27" t="s">
        <v>98</v>
      </c>
      <c r="B52" s="29" t="s">
        <v>101</v>
      </c>
      <c r="C52" s="58"/>
      <c r="D52" s="58"/>
      <c r="E52" s="58"/>
      <c r="F52" s="58"/>
      <c r="G52" s="58"/>
      <c r="H52" s="58"/>
      <c r="I52" s="58"/>
      <c r="J52" s="58"/>
      <c r="K52" s="59">
        <f t="shared" si="6"/>
        <v>0</v>
      </c>
      <c r="L52" s="58"/>
      <c r="M52" s="59">
        <f t="shared" si="7"/>
        <v>0</v>
      </c>
    </row>
    <row r="53" spans="1:13" s="17" customFormat="1" ht="23.25" customHeight="1" thickBot="1">
      <c r="A53" s="27" t="s">
        <v>98</v>
      </c>
      <c r="B53" s="29" t="s">
        <v>102</v>
      </c>
      <c r="C53" s="58"/>
      <c r="D53" s="58"/>
      <c r="E53" s="58"/>
      <c r="F53" s="58"/>
      <c r="G53" s="58"/>
      <c r="H53" s="58"/>
      <c r="I53" s="58"/>
      <c r="J53" s="58"/>
      <c r="K53" s="59">
        <f t="shared" si="6"/>
        <v>0</v>
      </c>
      <c r="L53" s="58"/>
      <c r="M53" s="59">
        <f t="shared" si="7"/>
        <v>0</v>
      </c>
    </row>
    <row r="54" spans="1:13" s="17" customFormat="1" ht="27.75" customHeight="1" thickBot="1">
      <c r="A54" s="27" t="s">
        <v>98</v>
      </c>
      <c r="B54" s="29" t="s">
        <v>103</v>
      </c>
      <c r="C54" s="58"/>
      <c r="D54" s="58"/>
      <c r="E54" s="58"/>
      <c r="F54" s="58"/>
      <c r="G54" s="58"/>
      <c r="H54" s="58"/>
      <c r="I54" s="58"/>
      <c r="J54" s="58"/>
      <c r="K54" s="59">
        <f t="shared" si="6"/>
        <v>0</v>
      </c>
      <c r="L54" s="58"/>
      <c r="M54" s="59">
        <f t="shared" si="7"/>
        <v>0</v>
      </c>
    </row>
    <row r="55" spans="1:13" s="17" customFormat="1" ht="25.5" customHeight="1" thickBot="1">
      <c r="A55" s="27"/>
      <c r="B55" s="29" t="s">
        <v>104</v>
      </c>
      <c r="C55" s="58"/>
      <c r="D55" s="58"/>
      <c r="E55" s="58"/>
      <c r="F55" s="58"/>
      <c r="G55" s="58"/>
      <c r="H55" s="58"/>
      <c r="I55" s="58"/>
      <c r="J55" s="58"/>
      <c r="K55" s="59">
        <f t="shared" si="6"/>
        <v>0</v>
      </c>
      <c r="L55" s="58"/>
      <c r="M55" s="59">
        <f t="shared" si="7"/>
        <v>0</v>
      </c>
    </row>
    <row r="56" spans="1:13" s="17" customFormat="1" ht="35.25" customHeight="1" thickBot="1">
      <c r="A56" s="27" t="s">
        <v>98</v>
      </c>
      <c r="B56" s="29" t="s">
        <v>105</v>
      </c>
      <c r="C56" s="58"/>
      <c r="D56" s="58"/>
      <c r="E56" s="58"/>
      <c r="F56" s="58"/>
      <c r="G56" s="58"/>
      <c r="H56" s="58"/>
      <c r="I56" s="58"/>
      <c r="J56" s="58"/>
      <c r="K56" s="59">
        <f t="shared" si="6"/>
        <v>0</v>
      </c>
      <c r="L56" s="58"/>
      <c r="M56" s="59">
        <f t="shared" si="7"/>
        <v>0</v>
      </c>
    </row>
    <row r="57" spans="1:13" s="17" customFormat="1" ht="27" customHeight="1" thickBot="1">
      <c r="A57" s="27" t="s">
        <v>98</v>
      </c>
      <c r="B57" s="29" t="s">
        <v>106</v>
      </c>
      <c r="C57" s="58"/>
      <c r="D57" s="58"/>
      <c r="E57" s="58"/>
      <c r="F57" s="58"/>
      <c r="G57" s="58"/>
      <c r="H57" s="58"/>
      <c r="I57" s="58"/>
      <c r="J57" s="58">
        <v>-428420</v>
      </c>
      <c r="K57" s="59">
        <f t="shared" si="6"/>
        <v>-428420</v>
      </c>
      <c r="L57" s="58"/>
      <c r="M57" s="59">
        <f t="shared" si="7"/>
        <v>-428420</v>
      </c>
    </row>
    <row r="58" spans="1:13" s="17" customFormat="1" ht="20.25" customHeight="1" thickBot="1">
      <c r="A58" s="27"/>
      <c r="B58" s="35" t="s">
        <v>107</v>
      </c>
      <c r="C58" s="58">
        <f aca="true" t="shared" si="10" ref="C58:I58">+C36+C49+SUM(C50:C57)</f>
        <v>1712762</v>
      </c>
      <c r="D58" s="58">
        <f t="shared" si="10"/>
        <v>-38924</v>
      </c>
      <c r="E58" s="58">
        <f t="shared" si="10"/>
        <v>0</v>
      </c>
      <c r="F58" s="58">
        <f>+F36+F49+SUM(F50:F57)</f>
        <v>7236911.558</v>
      </c>
      <c r="G58" s="58">
        <f t="shared" si="10"/>
        <v>0</v>
      </c>
      <c r="H58" s="58">
        <f t="shared" si="10"/>
        <v>0</v>
      </c>
      <c r="I58" s="58">
        <f t="shared" si="10"/>
        <v>0</v>
      </c>
      <c r="J58" s="61">
        <f>+J36+J49+SUM(J50:J57)</f>
        <v>5813533.16</v>
      </c>
      <c r="K58" s="59">
        <f>+SUM(C58:J58)</f>
        <v>14724282.718</v>
      </c>
      <c r="L58" s="58">
        <f>+L35+L49+SUM(L50:L57)</f>
        <v>0</v>
      </c>
      <c r="M58" s="59">
        <f>+K58+L58</f>
        <v>14724282.718</v>
      </c>
    </row>
    <row r="59" spans="1:13" s="17" customFormat="1" ht="15">
      <c r="A59" s="36"/>
      <c r="B59" s="37"/>
      <c r="C59" s="38"/>
      <c r="D59" s="38"/>
      <c r="E59" s="38"/>
      <c r="F59" s="38"/>
      <c r="G59" s="38"/>
      <c r="H59" s="38"/>
      <c r="I59" s="38"/>
      <c r="J59" s="39"/>
      <c r="K59" s="40"/>
      <c r="L59" s="38"/>
      <c r="M59" s="41"/>
    </row>
    <row r="60" spans="1:13" s="17" customFormat="1" ht="15">
      <c r="A60" s="36"/>
      <c r="B60" s="42"/>
      <c r="C60" s="38"/>
      <c r="D60" s="38"/>
      <c r="E60" s="38"/>
      <c r="F60" s="38"/>
      <c r="G60" s="38"/>
      <c r="H60" s="38"/>
      <c r="I60" s="38"/>
      <c r="J60" s="39"/>
      <c r="K60" s="40"/>
      <c r="L60" s="38"/>
      <c r="M60" s="41"/>
    </row>
    <row r="61" s="17" customFormat="1" ht="15">
      <c r="B61" s="43" t="s">
        <v>63</v>
      </c>
    </row>
    <row r="62" s="17" customFormat="1" ht="12.75">
      <c r="B62" s="44"/>
    </row>
    <row r="63" s="17" customFormat="1" ht="15">
      <c r="B63" s="43" t="s">
        <v>64</v>
      </c>
    </row>
  </sheetData>
  <sheetProtection/>
  <mergeCells count="13">
    <mergeCell ref="I10:I11"/>
    <mergeCell ref="J10:J11"/>
    <mergeCell ref="K10:K11"/>
    <mergeCell ref="L10:L11"/>
    <mergeCell ref="M10:M11"/>
    <mergeCell ref="B8:H8"/>
    <mergeCell ref="B10:B11"/>
    <mergeCell ref="C10:C11"/>
    <mergeCell ref="D10:D11"/>
    <mergeCell ref="E10:E11"/>
    <mergeCell ref="F10:F11"/>
    <mergeCell ref="G10:G11"/>
    <mergeCell ref="H10:H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65"/>
  <sheetViews>
    <sheetView zoomScalePageLayoutView="0" workbookViewId="0" topLeftCell="A1">
      <selection activeCell="AE54" sqref="AE54"/>
    </sheetView>
  </sheetViews>
  <sheetFormatPr defaultColWidth="37.125" defaultRowHeight="12.75"/>
  <cols>
    <col min="1" max="1" width="55.625" style="0" customWidth="1"/>
    <col min="2" max="2" width="20.75390625" style="0" hidden="1" customWidth="1"/>
    <col min="3" max="3" width="14.75390625" style="0" hidden="1" customWidth="1"/>
    <col min="4" max="4" width="17.875" style="0" hidden="1" customWidth="1"/>
    <col min="5" max="5" width="16.00390625" style="0" hidden="1" customWidth="1"/>
    <col min="6" max="6" width="19.125" style="0" hidden="1" customWidth="1"/>
    <col min="7" max="8" width="0.12890625" style="0" hidden="1" customWidth="1"/>
    <col min="9" max="9" width="19.375" style="0" hidden="1" customWidth="1"/>
    <col min="10" max="10" width="21.75390625" style="0" hidden="1" customWidth="1"/>
    <col min="11" max="11" width="0.12890625" style="0" hidden="1" customWidth="1"/>
    <col min="12" max="12" width="18.625" style="0" hidden="1" customWidth="1"/>
    <col min="13" max="13" width="20.375" style="0" hidden="1" customWidth="1"/>
    <col min="14" max="14" width="16.875" style="0" hidden="1" customWidth="1"/>
    <col min="15" max="15" width="0.12890625" style="0" hidden="1" customWidth="1"/>
    <col min="16" max="16" width="17.75390625" style="0" hidden="1" customWidth="1"/>
    <col min="17" max="17" width="16.25390625" style="0" hidden="1" customWidth="1"/>
    <col min="18" max="18" width="26.125" style="0" hidden="1" customWidth="1"/>
    <col min="19" max="19" width="25.875" style="0" hidden="1" customWidth="1"/>
    <col min="20" max="20" width="23.25390625" style="0" hidden="1" customWidth="1"/>
    <col min="21" max="21" width="21.125" style="0" hidden="1" customWidth="1"/>
    <col min="22" max="22" width="13.375" style="0" hidden="1" customWidth="1"/>
    <col min="23" max="23" width="17.625" style="0" hidden="1" customWidth="1"/>
    <col min="24" max="24" width="16.375" style="0" hidden="1" customWidth="1"/>
    <col min="25" max="25" width="15.125" style="0" hidden="1" customWidth="1"/>
    <col min="26" max="26" width="16.625" style="0" hidden="1" customWidth="1"/>
    <col min="27" max="27" width="0.12890625" style="0" hidden="1" customWidth="1"/>
    <col min="28" max="28" width="17.00390625" style="0" customWidth="1"/>
    <col min="29" max="29" width="22.75390625" style="0" customWidth="1"/>
    <col min="30" max="30" width="23.00390625" style="0" customWidth="1"/>
    <col min="31" max="31" width="26.375" style="0" customWidth="1"/>
  </cols>
  <sheetData>
    <row r="1" ht="35.25" customHeight="1" thickBot="1">
      <c r="A1" s="248" t="s">
        <v>596</v>
      </c>
    </row>
    <row r="2" spans="1:31" ht="68.25" customHeight="1" thickBot="1">
      <c r="A2" s="249"/>
      <c r="B2" s="250">
        <v>41640</v>
      </c>
      <c r="C2" s="251">
        <v>41671</v>
      </c>
      <c r="D2" s="251">
        <v>41699</v>
      </c>
      <c r="E2" s="252" t="s">
        <v>597</v>
      </c>
      <c r="F2" s="253" t="s">
        <v>598</v>
      </c>
      <c r="G2" s="254"/>
      <c r="H2" s="255" t="s">
        <v>599</v>
      </c>
      <c r="I2" s="255" t="s">
        <v>600</v>
      </c>
      <c r="J2" s="256" t="s">
        <v>601</v>
      </c>
      <c r="K2" s="253" t="s">
        <v>602</v>
      </c>
      <c r="L2" s="257" t="s">
        <v>603</v>
      </c>
      <c r="M2" s="253" t="s">
        <v>604</v>
      </c>
      <c r="N2" s="257" t="s">
        <v>605</v>
      </c>
      <c r="O2" s="253" t="s">
        <v>606</v>
      </c>
      <c r="P2" s="257" t="s">
        <v>607</v>
      </c>
      <c r="Q2" s="258" t="s">
        <v>604</v>
      </c>
      <c r="R2" s="257" t="s">
        <v>608</v>
      </c>
      <c r="S2" s="259" t="s">
        <v>609</v>
      </c>
      <c r="T2" s="257" t="s">
        <v>610</v>
      </c>
      <c r="U2" s="258" t="s">
        <v>604</v>
      </c>
      <c r="V2" s="257" t="s">
        <v>611</v>
      </c>
      <c r="W2" s="259" t="s">
        <v>652</v>
      </c>
      <c r="X2" s="257" t="s">
        <v>653</v>
      </c>
      <c r="Y2" s="258" t="s">
        <v>604</v>
      </c>
      <c r="Z2" s="257" t="s">
        <v>654</v>
      </c>
      <c r="AA2" s="259" t="s">
        <v>655</v>
      </c>
      <c r="AB2" s="257" t="s">
        <v>671</v>
      </c>
      <c r="AC2" s="258" t="s">
        <v>604</v>
      </c>
      <c r="AD2" s="257" t="s">
        <v>672</v>
      </c>
      <c r="AE2" s="253" t="s">
        <v>673</v>
      </c>
    </row>
    <row r="3" spans="1:31" ht="23.25" customHeight="1">
      <c r="A3" s="260"/>
      <c r="B3" s="261"/>
      <c r="C3" s="261"/>
      <c r="D3" s="261"/>
      <c r="E3" s="261"/>
      <c r="F3" s="261"/>
      <c r="G3" s="261"/>
      <c r="H3" s="262"/>
      <c r="I3" s="261"/>
      <c r="J3" s="261"/>
      <c r="K3" s="261"/>
      <c r="L3" s="261"/>
      <c r="M3" s="261"/>
      <c r="N3" s="261"/>
      <c r="O3" s="261"/>
      <c r="P3" s="261"/>
      <c r="Q3" s="263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</row>
    <row r="4" spans="1:31" ht="23.25" customHeight="1">
      <c r="A4" s="264" t="s">
        <v>612</v>
      </c>
      <c r="B4" s="262">
        <v>807228061.65</v>
      </c>
      <c r="C4" s="262">
        <v>754472128.27</v>
      </c>
      <c r="D4" s="262">
        <v>757455877.82</v>
      </c>
      <c r="E4" s="262">
        <f>B4+C4+D4</f>
        <v>2319156067.7400002</v>
      </c>
      <c r="F4" s="262">
        <f>E4/1000</f>
        <v>2319156.0677400003</v>
      </c>
      <c r="G4" s="262"/>
      <c r="H4" s="262">
        <v>685213518.51</v>
      </c>
      <c r="I4" s="261">
        <f>H4/1000</f>
        <v>685213.51851</v>
      </c>
      <c r="J4" s="262">
        <f>E4+H4</f>
        <v>3004369586.25</v>
      </c>
      <c r="K4" s="262">
        <f>F4+I4</f>
        <v>3004369.58625</v>
      </c>
      <c r="L4" s="261">
        <v>650882508.55</v>
      </c>
      <c r="M4" s="262">
        <f>L4+J4</f>
        <v>3655252094.8</v>
      </c>
      <c r="N4" s="262">
        <f>L4/1000</f>
        <v>650882.5085499999</v>
      </c>
      <c r="O4" s="262">
        <f>K4+N4</f>
        <v>3655252.0948</v>
      </c>
      <c r="P4" s="262">
        <v>652869495.55</v>
      </c>
      <c r="Q4" s="265">
        <f>M4+P4</f>
        <v>4308121590.35</v>
      </c>
      <c r="R4" s="261">
        <f>P4/1000</f>
        <v>652869.49555</v>
      </c>
      <c r="S4" s="262">
        <f>(O4+R4)</f>
        <v>4308121.59035</v>
      </c>
      <c r="T4" s="262">
        <v>684790829.83</v>
      </c>
      <c r="U4" s="262">
        <f>Q4+T4</f>
        <v>4992912420.18</v>
      </c>
      <c r="V4" s="261">
        <f>T4/1000</f>
        <v>684790.8298300001</v>
      </c>
      <c r="W4" s="262">
        <f>S4+V4</f>
        <v>4992912.42018</v>
      </c>
      <c r="X4" s="262">
        <v>710108381.79</v>
      </c>
      <c r="Y4" s="262">
        <f>U4+X4</f>
        <v>5703020801.97</v>
      </c>
      <c r="Z4" s="261">
        <f>X4/1000</f>
        <v>710108.38179</v>
      </c>
      <c r="AA4" s="262">
        <f>W4+Z4</f>
        <v>5703020.80197</v>
      </c>
      <c r="AB4" s="262">
        <v>671340361.99</v>
      </c>
      <c r="AC4" s="262">
        <f>Y4+AB4</f>
        <v>6374361163.96</v>
      </c>
      <c r="AD4" s="261">
        <f>AB4/1000</f>
        <v>671340.36199</v>
      </c>
      <c r="AE4" s="262">
        <f>AA4+AD4</f>
        <v>6374361.1639600005</v>
      </c>
    </row>
    <row r="5" spans="1:31" ht="23.25" customHeight="1">
      <c r="A5" s="264" t="s">
        <v>613</v>
      </c>
      <c r="B5" s="266">
        <v>539319098.29</v>
      </c>
      <c r="C5" s="266">
        <v>512398627.04</v>
      </c>
      <c r="D5" s="267">
        <v>503499849.45</v>
      </c>
      <c r="E5" s="262">
        <f>B5+C5+D5</f>
        <v>1555217574.78</v>
      </c>
      <c r="F5" s="262">
        <f>(E5-310541007+144563978)/1000</f>
        <v>1389240.54578</v>
      </c>
      <c r="G5" s="262"/>
      <c r="H5" s="266">
        <f>477022282.65+697790</f>
        <v>477720072.65</v>
      </c>
      <c r="I5" s="262">
        <f>(H5-103449986+48066692)/1000</f>
        <v>422336.77865</v>
      </c>
      <c r="J5" s="262">
        <f>E5+H5</f>
        <v>2032937647.4299998</v>
      </c>
      <c r="K5" s="262">
        <f>F5+I5</f>
        <v>1811577.32443</v>
      </c>
      <c r="L5" s="261">
        <f>526811376.35+21728</f>
        <v>526833104.35</v>
      </c>
      <c r="M5" s="262">
        <f>L5+J5</f>
        <v>2559770751.7799997</v>
      </c>
      <c r="N5" s="262">
        <f>(L5-103447682-21728+47792786)/1000</f>
        <v>471156.48035</v>
      </c>
      <c r="O5" s="262">
        <f>K5+N5</f>
        <v>2282733.80478</v>
      </c>
      <c r="P5" s="262">
        <f>525643688.93+1904985+9900</f>
        <v>527558573.93</v>
      </c>
      <c r="Q5" s="265">
        <f>M5+P5</f>
        <v>3087329325.7099996</v>
      </c>
      <c r="R5" s="261">
        <f>(P5-103812293-9900-1904985+49418165+9900)/1000</f>
        <v>471259.46093</v>
      </c>
      <c r="S5" s="262">
        <f>O5+R5</f>
        <v>2753993.26571</v>
      </c>
      <c r="T5" s="262">
        <v>516988967.83</v>
      </c>
      <c r="U5" s="262">
        <f>Q5+T5</f>
        <v>3604318293.5399995</v>
      </c>
      <c r="V5" s="261">
        <f>(T5-103974095)/1000+48408.064</f>
        <v>461422.93683</v>
      </c>
      <c r="W5" s="262">
        <f>S5+V5</f>
        <v>3215416.20254</v>
      </c>
      <c r="X5" s="262">
        <f>547406733.78+19898.52+495346</f>
        <v>547921978.3</v>
      </c>
      <c r="Y5" s="262">
        <f>U5+X5</f>
        <v>4152240271.839999</v>
      </c>
      <c r="Z5" s="261">
        <f>(X5-103950029+48417087)/1000</f>
        <v>492389.0363</v>
      </c>
      <c r="AA5" s="262">
        <f>W5+Z5</f>
        <v>3707805.23884</v>
      </c>
      <c r="AB5" s="262">
        <f>198806240.01+7697720.79+327664502.15</f>
        <v>534168462.9499999</v>
      </c>
      <c r="AC5" s="262">
        <f>Y5+AB5</f>
        <v>4686408734.789999</v>
      </c>
      <c r="AD5" s="261">
        <f>(AB5-103947991+48417087)/1000</f>
        <v>478637.5589499999</v>
      </c>
      <c r="AE5" s="262">
        <f>AA5+AD5</f>
        <v>4186442.7977899997</v>
      </c>
    </row>
    <row r="6" spans="1:31" ht="23.25" customHeight="1" thickBot="1">
      <c r="A6" s="268" t="s">
        <v>614</v>
      </c>
      <c r="B6" s="269">
        <f>B4-B5</f>
        <v>267908963.36</v>
      </c>
      <c r="C6" s="269">
        <f>C4-C5</f>
        <v>242073501.22999996</v>
      </c>
      <c r="D6" s="269">
        <f>D4-D5</f>
        <v>253956028.37000006</v>
      </c>
      <c r="E6" s="269">
        <f>E4-E5</f>
        <v>763938492.9600003</v>
      </c>
      <c r="F6" s="269">
        <f>F4-F5</f>
        <v>929915.5219600003</v>
      </c>
      <c r="G6" s="269"/>
      <c r="H6" s="269">
        <f>H4-H5</f>
        <v>207493445.86</v>
      </c>
      <c r="I6" s="269">
        <f>I4-I5</f>
        <v>262876.73986</v>
      </c>
      <c r="J6" s="262">
        <f>E6+H6</f>
        <v>971431938.8200003</v>
      </c>
      <c r="K6" s="269">
        <f aca="true" t="shared" si="0" ref="K6:AD6">K4-K5</f>
        <v>1192792.2618200001</v>
      </c>
      <c r="L6" s="269">
        <f t="shared" si="0"/>
        <v>124049404.19999993</v>
      </c>
      <c r="M6" s="269">
        <f t="shared" si="0"/>
        <v>1095481343.0200005</v>
      </c>
      <c r="N6" s="269">
        <f t="shared" si="0"/>
        <v>179726.02819999988</v>
      </c>
      <c r="O6" s="269">
        <f t="shared" si="0"/>
        <v>1372518.2900200002</v>
      </c>
      <c r="P6" s="270">
        <f t="shared" si="0"/>
        <v>125310921.61999995</v>
      </c>
      <c r="Q6" s="271">
        <f t="shared" si="0"/>
        <v>1220792264.6400008</v>
      </c>
      <c r="R6" s="270">
        <f t="shared" si="0"/>
        <v>181610.03462</v>
      </c>
      <c r="S6" s="269">
        <f t="shared" si="0"/>
        <v>1554128.3246400002</v>
      </c>
      <c r="T6" s="269">
        <f t="shared" si="0"/>
        <v>167801862.00000006</v>
      </c>
      <c r="U6" s="269">
        <f t="shared" si="0"/>
        <v>1388594126.6400008</v>
      </c>
      <c r="V6" s="272">
        <f t="shared" si="0"/>
        <v>223367.89300000004</v>
      </c>
      <c r="W6" s="269">
        <f t="shared" si="0"/>
        <v>1777496.2176400004</v>
      </c>
      <c r="X6" s="269">
        <f t="shared" si="0"/>
        <v>162186403.49</v>
      </c>
      <c r="Y6" s="269">
        <f t="shared" si="0"/>
        <v>1550780530.130001</v>
      </c>
      <c r="Z6" s="272">
        <f t="shared" si="0"/>
        <v>217719.34549000004</v>
      </c>
      <c r="AA6" s="269">
        <f t="shared" si="0"/>
        <v>1995215.5631300006</v>
      </c>
      <c r="AB6" s="270">
        <f t="shared" si="0"/>
        <v>137171899.04000008</v>
      </c>
      <c r="AC6" s="270">
        <f t="shared" si="0"/>
        <v>1687952429.170001</v>
      </c>
      <c r="AD6" s="272">
        <f t="shared" si="0"/>
        <v>192702.8030400001</v>
      </c>
      <c r="AE6" s="269">
        <f>AA6+AD6</f>
        <v>2187918.3661700008</v>
      </c>
    </row>
    <row r="7" spans="1:31" ht="23.25" customHeight="1" thickBot="1">
      <c r="A7" s="273"/>
      <c r="B7" s="261"/>
      <c r="C7" s="261"/>
      <c r="D7" s="261"/>
      <c r="E7" s="261"/>
      <c r="F7" s="261"/>
      <c r="G7" s="262"/>
      <c r="H7" s="261"/>
      <c r="I7" s="261"/>
      <c r="J7" s="261"/>
      <c r="K7" s="261"/>
      <c r="L7" s="261"/>
      <c r="M7" s="261"/>
      <c r="N7" s="261"/>
      <c r="O7" s="261"/>
      <c r="P7" s="262"/>
      <c r="Q7" s="263"/>
      <c r="R7" s="261"/>
      <c r="S7" s="261"/>
      <c r="T7" s="261"/>
      <c r="U7" s="262"/>
      <c r="V7" s="261"/>
      <c r="W7" s="261"/>
      <c r="X7" s="262"/>
      <c r="Y7" s="262"/>
      <c r="Z7" s="261"/>
      <c r="AA7" s="261"/>
      <c r="AB7" s="261"/>
      <c r="AC7" s="261"/>
      <c r="AD7" s="261"/>
      <c r="AE7" s="261"/>
    </row>
    <row r="8" spans="1:31" ht="23.25" customHeight="1">
      <c r="A8" s="274" t="s">
        <v>615</v>
      </c>
      <c r="B8" s="269">
        <f>SUM(B9:B15)</f>
        <v>43460704.03</v>
      </c>
      <c r="C8" s="269">
        <f>SUM(C9:C12)</f>
        <v>119931703.15</v>
      </c>
      <c r="D8" s="269">
        <f>SUM(D9:D12)</f>
        <v>134805705.47</v>
      </c>
      <c r="E8" s="269">
        <f>SUM(E9:E15)</f>
        <v>298198112.65</v>
      </c>
      <c r="F8" s="269">
        <f>SUM(F9:F12)</f>
        <v>296009.47165</v>
      </c>
      <c r="G8" s="269"/>
      <c r="H8" s="269">
        <f>SUM(H9:H12)</f>
        <v>52816597.79</v>
      </c>
      <c r="I8" s="269">
        <f>SUM(I9:I12)</f>
        <v>52087.050789999994</v>
      </c>
      <c r="J8" s="269">
        <f aca="true" t="shared" si="1" ref="J8:O8">SUM(J9:J15)</f>
        <v>351014710.44</v>
      </c>
      <c r="K8" s="269">
        <f t="shared" si="1"/>
        <v>348096.52244000003</v>
      </c>
      <c r="L8" s="269">
        <f t="shared" si="1"/>
        <v>112392078.31</v>
      </c>
      <c r="M8" s="269">
        <f t="shared" si="1"/>
        <v>463406788.75</v>
      </c>
      <c r="N8" s="272">
        <f t="shared" si="1"/>
        <v>111679.90630999999</v>
      </c>
      <c r="O8" s="269">
        <f t="shared" si="1"/>
        <v>459776.42875</v>
      </c>
      <c r="P8" s="270">
        <f>SUM(P9:P15)</f>
        <v>73247937.42</v>
      </c>
      <c r="Q8" s="271">
        <f>SUM(Q9:Q15)</f>
        <v>536654726.17</v>
      </c>
      <c r="R8" s="270">
        <f>SUM(R9:R15)</f>
        <v>72535.76542</v>
      </c>
      <c r="S8" s="269">
        <f>SUM(S9:S13)</f>
        <v>532312.19417</v>
      </c>
      <c r="T8" s="270">
        <f>SUM(T9:T15)</f>
        <v>60920236.00000001</v>
      </c>
      <c r="U8" s="269">
        <f>SUM(U9:U15)</f>
        <v>597574962.17</v>
      </c>
      <c r="V8" s="272">
        <f>SUM(V9:V15)</f>
        <v>60225.49300000001</v>
      </c>
      <c r="W8" s="269">
        <f>SUM(W9:W15)</f>
        <v>592537.68717</v>
      </c>
      <c r="X8" s="269">
        <f>SUM(X9:X15)</f>
        <v>182788372.86</v>
      </c>
      <c r="Y8" s="269">
        <f>SUM(Y9:Y14)</f>
        <v>780363335.0299999</v>
      </c>
      <c r="Z8" s="272">
        <f aca="true" t="shared" si="2" ref="Z8:AE8">SUM(Z9:Z15)</f>
        <v>182058.82586</v>
      </c>
      <c r="AA8" s="269">
        <f t="shared" si="2"/>
        <v>774596.5130299999</v>
      </c>
      <c r="AB8" s="270">
        <f t="shared" si="2"/>
        <v>46051651.03000001</v>
      </c>
      <c r="AC8" s="269">
        <f t="shared" si="2"/>
        <v>826414986.06</v>
      </c>
      <c r="AD8" s="272">
        <f t="shared" si="2"/>
        <v>45322.684030000004</v>
      </c>
      <c r="AE8" s="269">
        <f t="shared" si="2"/>
        <v>819919.19706</v>
      </c>
    </row>
    <row r="9" spans="1:31" ht="23.25" customHeight="1">
      <c r="A9" s="264" t="s">
        <v>616</v>
      </c>
      <c r="B9" s="262">
        <v>24463693.43</v>
      </c>
      <c r="C9" s="262">
        <v>101837510.63</v>
      </c>
      <c r="D9" s="262">
        <v>42854929.38</v>
      </c>
      <c r="E9" s="262">
        <f>B9+C9+D9</f>
        <v>169156133.44</v>
      </c>
      <c r="F9" s="262">
        <f>(E9-4886653+2698012)/1000</f>
        <v>166967.49244</v>
      </c>
      <c r="G9" s="262"/>
      <c r="H9" s="275">
        <f>32455622.88-36540-164.71</f>
        <v>32418918.169999998</v>
      </c>
      <c r="I9" s="275">
        <f>(H9-1623533+893986)/1000</f>
        <v>31689.37117</v>
      </c>
      <c r="J9" s="262">
        <f aca="true" t="shared" si="3" ref="J9:K12">E9+H9</f>
        <v>201575051.60999998</v>
      </c>
      <c r="K9" s="262">
        <f t="shared" si="3"/>
        <v>198656.86361</v>
      </c>
      <c r="L9" s="262">
        <v>106630088.02</v>
      </c>
      <c r="M9" s="262">
        <f aca="true" t="shared" si="4" ref="M9:M15">J9+L9</f>
        <v>308205139.63</v>
      </c>
      <c r="N9" s="261">
        <f>(L9-1604169+891997)/1000</f>
        <v>105917.91601999999</v>
      </c>
      <c r="O9" s="262">
        <f aca="true" t="shared" si="5" ref="O9:O15">K9+N9</f>
        <v>304574.77963</v>
      </c>
      <c r="P9" s="262">
        <f>53061584.57+12500</f>
        <v>53074084.57</v>
      </c>
      <c r="Q9" s="265">
        <f aca="true" t="shared" si="6" ref="Q9:Q15">M9+P9</f>
        <v>361279224.2</v>
      </c>
      <c r="R9" s="261">
        <f>(P9-1604028-12500+891856+12500)/1000</f>
        <v>52361.91257</v>
      </c>
      <c r="S9" s="262">
        <f>O9+R9</f>
        <v>356936.6922</v>
      </c>
      <c r="T9" s="261">
        <f>40260257.2+633782.31</f>
        <v>40894039.510000005</v>
      </c>
      <c r="U9" s="262">
        <f aca="true" t="shared" si="7" ref="U9:U15">Q9+T9</f>
        <v>402173263.71</v>
      </c>
      <c r="V9" s="261">
        <f>(T9-1603974)/1000+909.231</f>
        <v>40199.29651000001</v>
      </c>
      <c r="W9" s="262">
        <f aca="true" t="shared" si="8" ref="W9:W15">S9+V9</f>
        <v>397135.98871</v>
      </c>
      <c r="X9" s="262">
        <f>163640452.37-495346</f>
        <v>163145106.37</v>
      </c>
      <c r="Y9" s="262">
        <f aca="true" t="shared" si="9" ref="Y9:Y15">U9+X9</f>
        <v>565318370.0799999</v>
      </c>
      <c r="Z9" s="261">
        <f>(X9-1603974+874427)/1000</f>
        <v>162415.55937</v>
      </c>
      <c r="AA9" s="262">
        <f aca="true" t="shared" si="10" ref="AA9:AA15">W9+Z9</f>
        <v>559551.54808</v>
      </c>
      <c r="AB9" s="261">
        <f>25781992.92+102096.98+67974.18</f>
        <v>25952064.080000002</v>
      </c>
      <c r="AC9" s="262">
        <f aca="true" t="shared" si="11" ref="AC9:AC14">Y9+AB9</f>
        <v>591270434.16</v>
      </c>
      <c r="AD9" s="261">
        <f>(AB9-1603394+874427)/1000</f>
        <v>25223.097080000003</v>
      </c>
      <c r="AE9" s="262">
        <f aca="true" t="shared" si="12" ref="AE9:AE15">AA9+AD9</f>
        <v>584774.64516</v>
      </c>
    </row>
    <row r="10" spans="1:31" ht="32.25" customHeight="1">
      <c r="A10" s="264" t="s">
        <v>617</v>
      </c>
      <c r="B10" s="262">
        <v>235007</v>
      </c>
      <c r="C10" s="262">
        <v>355680.2</v>
      </c>
      <c r="D10" s="262">
        <v>55293461.4</v>
      </c>
      <c r="E10" s="51">
        <f>B10+C10+D10</f>
        <v>55884148.6</v>
      </c>
      <c r="F10" s="262">
        <f>E10/1000</f>
        <v>55884.1486</v>
      </c>
      <c r="G10" s="262"/>
      <c r="H10" s="262">
        <v>356509</v>
      </c>
      <c r="I10" s="261">
        <f>H10/1000</f>
        <v>356.509</v>
      </c>
      <c r="J10" s="262">
        <f t="shared" si="3"/>
        <v>56240657.6</v>
      </c>
      <c r="K10" s="262">
        <f t="shared" si="3"/>
        <v>56240.6576</v>
      </c>
      <c r="L10" s="261">
        <v>219286.2</v>
      </c>
      <c r="M10" s="262">
        <f t="shared" si="4"/>
        <v>56459943.800000004</v>
      </c>
      <c r="N10" s="261">
        <f aca="true" t="shared" si="13" ref="N10:N15">L10/1000</f>
        <v>219.2862</v>
      </c>
      <c r="O10" s="262">
        <f t="shared" si="5"/>
        <v>56459.9438</v>
      </c>
      <c r="P10" s="262">
        <v>219163</v>
      </c>
      <c r="Q10" s="265">
        <f t="shared" si="6"/>
        <v>56679106.800000004</v>
      </c>
      <c r="R10" s="261">
        <f aca="true" t="shared" si="14" ref="R10:R15">P10/1000</f>
        <v>219.163</v>
      </c>
      <c r="S10" s="262">
        <f>O10+R10</f>
        <v>56679.1068</v>
      </c>
      <c r="T10" s="262">
        <v>256802.2</v>
      </c>
      <c r="U10" s="262">
        <f t="shared" si="7"/>
        <v>56935909.00000001</v>
      </c>
      <c r="V10" s="261">
        <f aca="true" t="shared" si="15" ref="V10:V15">T10/1000</f>
        <v>256.8022</v>
      </c>
      <c r="W10" s="262">
        <f t="shared" si="8"/>
        <v>56935.909</v>
      </c>
      <c r="X10" s="262">
        <v>201359.8</v>
      </c>
      <c r="Y10" s="262">
        <f t="shared" si="9"/>
        <v>57137268.800000004</v>
      </c>
      <c r="Z10" s="261">
        <f aca="true" t="shared" si="16" ref="Z10:Z15">X10/1000</f>
        <v>201.35979999999998</v>
      </c>
      <c r="AA10" s="262">
        <f t="shared" si="10"/>
        <v>57137.2688</v>
      </c>
      <c r="AB10" s="261">
        <v>367187.66</v>
      </c>
      <c r="AC10" s="262">
        <f t="shared" si="11"/>
        <v>57504456.46</v>
      </c>
      <c r="AD10" s="261">
        <f>AB10/1000</f>
        <v>367.18766</v>
      </c>
      <c r="AE10" s="262">
        <f t="shared" si="12"/>
        <v>57504.45646</v>
      </c>
    </row>
    <row r="11" spans="1:31" ht="23.25" customHeight="1">
      <c r="A11" s="264" t="s">
        <v>175</v>
      </c>
      <c r="B11" s="276">
        <v>6338115.6</v>
      </c>
      <c r="C11" s="276">
        <v>6881030.32</v>
      </c>
      <c r="D11" s="276">
        <v>9324944.14</v>
      </c>
      <c r="E11" s="276">
        <f>B11+C11+D11</f>
        <v>22544090.060000002</v>
      </c>
      <c r="F11" s="276">
        <f>E11/1000</f>
        <v>22544.090060000002</v>
      </c>
      <c r="G11" s="276"/>
      <c r="H11" s="276">
        <v>7601530.62</v>
      </c>
      <c r="I11" s="276">
        <f>H11/1000</f>
        <v>7601.53062</v>
      </c>
      <c r="J11" s="276">
        <f t="shared" si="3"/>
        <v>30145620.680000003</v>
      </c>
      <c r="K11" s="276">
        <f t="shared" si="3"/>
        <v>30145.620680000004</v>
      </c>
      <c r="L11" s="261">
        <v>7140747.09</v>
      </c>
      <c r="M11" s="262">
        <f t="shared" si="4"/>
        <v>37286367.77</v>
      </c>
      <c r="N11" s="261">
        <f t="shared" si="13"/>
        <v>7140.74709</v>
      </c>
      <c r="O11" s="262">
        <f t="shared" si="5"/>
        <v>37286.367770000004</v>
      </c>
      <c r="P11" s="262">
        <v>6533855.85</v>
      </c>
      <c r="Q11" s="265">
        <f t="shared" si="6"/>
        <v>43820223.620000005</v>
      </c>
      <c r="R11" s="261">
        <f t="shared" si="14"/>
        <v>6533.85585</v>
      </c>
      <c r="S11" s="262">
        <f>O11+R11</f>
        <v>43820.223620000004</v>
      </c>
      <c r="T11" s="261">
        <v>7935602.29</v>
      </c>
      <c r="U11" s="262">
        <f t="shared" si="7"/>
        <v>51755825.910000004</v>
      </c>
      <c r="V11" s="261">
        <f t="shared" si="15"/>
        <v>7935.60229</v>
      </c>
      <c r="W11" s="262">
        <f t="shared" si="8"/>
        <v>51755.82591000001</v>
      </c>
      <c r="X11" s="262">
        <v>7603386.69</v>
      </c>
      <c r="Y11" s="262">
        <f t="shared" si="9"/>
        <v>59359212.6</v>
      </c>
      <c r="Z11" s="261">
        <f t="shared" si="16"/>
        <v>7603.38669</v>
      </c>
      <c r="AA11" s="262">
        <f t="shared" si="10"/>
        <v>59359.212600000006</v>
      </c>
      <c r="AB11" s="261">
        <v>6697587.44</v>
      </c>
      <c r="AC11" s="262">
        <f t="shared" si="11"/>
        <v>66056800.04</v>
      </c>
      <c r="AD11" s="261">
        <f>AB11/1000</f>
        <v>6697.58744</v>
      </c>
      <c r="AE11" s="262">
        <f t="shared" si="12"/>
        <v>66056.80004</v>
      </c>
    </row>
    <row r="12" spans="1:34" ht="30" customHeight="1">
      <c r="A12" s="264" t="s">
        <v>618</v>
      </c>
      <c r="B12" s="276">
        <v>12423888</v>
      </c>
      <c r="C12" s="276">
        <v>10857482</v>
      </c>
      <c r="D12" s="276">
        <v>27332370.55</v>
      </c>
      <c r="E12" s="276">
        <f>B12+C12+D12</f>
        <v>50613740.55</v>
      </c>
      <c r="F12" s="276">
        <f>E12/1000</f>
        <v>50613.740549999995</v>
      </c>
      <c r="G12" s="276"/>
      <c r="H12" s="276">
        <v>12439640</v>
      </c>
      <c r="I12" s="276">
        <f>H12/1000</f>
        <v>12439.64</v>
      </c>
      <c r="J12" s="276">
        <f t="shared" si="3"/>
        <v>63053380.55</v>
      </c>
      <c r="K12" s="276">
        <f t="shared" si="3"/>
        <v>63053.380549999994</v>
      </c>
      <c r="L12" s="261">
        <v>-1598043</v>
      </c>
      <c r="M12" s="262">
        <f t="shared" si="4"/>
        <v>61455337.55</v>
      </c>
      <c r="N12" s="261">
        <f t="shared" si="13"/>
        <v>-1598.043</v>
      </c>
      <c r="O12" s="262">
        <f t="shared" si="5"/>
        <v>61455.33755</v>
      </c>
      <c r="P12" s="262">
        <v>13420834</v>
      </c>
      <c r="Q12" s="265">
        <f t="shared" si="6"/>
        <v>74876171.55</v>
      </c>
      <c r="R12" s="261">
        <f t="shared" si="14"/>
        <v>13420.834</v>
      </c>
      <c r="S12" s="262">
        <f>O12+R12</f>
        <v>74876.17155</v>
      </c>
      <c r="T12" s="262">
        <v>11833792</v>
      </c>
      <c r="U12" s="262">
        <f t="shared" si="7"/>
        <v>86709963.55</v>
      </c>
      <c r="V12" s="261">
        <f t="shared" si="15"/>
        <v>11833.792</v>
      </c>
      <c r="W12" s="262">
        <f t="shared" si="8"/>
        <v>86709.96355</v>
      </c>
      <c r="X12" s="262">
        <v>11838520</v>
      </c>
      <c r="Y12" s="262">
        <f>U12+X12</f>
        <v>98548483.55</v>
      </c>
      <c r="Z12" s="261">
        <f t="shared" si="16"/>
        <v>11838.52</v>
      </c>
      <c r="AA12" s="262">
        <f t="shared" si="10"/>
        <v>98548.48355</v>
      </c>
      <c r="AB12" s="261">
        <f>46367816.86-34853500+72863</f>
        <v>11587179.86</v>
      </c>
      <c r="AC12" s="262">
        <f t="shared" si="11"/>
        <v>110135663.41</v>
      </c>
      <c r="AD12" s="261">
        <f>AB12/1000</f>
        <v>11587.17986</v>
      </c>
      <c r="AE12" s="262">
        <f t="shared" si="12"/>
        <v>110135.66341000001</v>
      </c>
      <c r="AF12" s="51"/>
      <c r="AH12" s="51"/>
    </row>
    <row r="13" spans="1:31" ht="23.25" customHeight="1">
      <c r="A13" s="277" t="s">
        <v>619</v>
      </c>
      <c r="B13" s="262"/>
      <c r="C13" s="262"/>
      <c r="D13" s="262"/>
      <c r="E13" s="262"/>
      <c r="F13" s="262"/>
      <c r="G13" s="262"/>
      <c r="H13" s="262"/>
      <c r="I13" s="261"/>
      <c r="J13" s="261"/>
      <c r="K13" s="261"/>
      <c r="L13" s="261"/>
      <c r="M13" s="262">
        <f t="shared" si="4"/>
        <v>0</v>
      </c>
      <c r="N13" s="261">
        <f t="shared" si="13"/>
        <v>0</v>
      </c>
      <c r="O13" s="262">
        <f t="shared" si="5"/>
        <v>0</v>
      </c>
      <c r="P13" s="262">
        <f>-149540.29+149540.29</f>
        <v>0</v>
      </c>
      <c r="Q13" s="265">
        <f t="shared" si="6"/>
        <v>0</v>
      </c>
      <c r="R13" s="261">
        <f t="shared" si="14"/>
        <v>0</v>
      </c>
      <c r="S13" s="262">
        <f>O13+R13</f>
        <v>0</v>
      </c>
      <c r="T13" s="261"/>
      <c r="U13" s="262">
        <f t="shared" si="7"/>
        <v>0</v>
      </c>
      <c r="V13" s="261">
        <f t="shared" si="15"/>
        <v>0</v>
      </c>
      <c r="W13" s="262">
        <f t="shared" si="8"/>
        <v>0</v>
      </c>
      <c r="X13" s="262"/>
      <c r="Y13" s="262">
        <f t="shared" si="9"/>
        <v>0</v>
      </c>
      <c r="Z13" s="261">
        <f t="shared" si="16"/>
        <v>0</v>
      </c>
      <c r="AA13" s="262">
        <f t="shared" si="10"/>
        <v>0</v>
      </c>
      <c r="AB13" s="261">
        <v>1447631.99</v>
      </c>
      <c r="AC13" s="262">
        <f t="shared" si="11"/>
        <v>1447631.99</v>
      </c>
      <c r="AD13" s="261">
        <f>AC13/1000</f>
        <v>1447.63199</v>
      </c>
      <c r="AE13" s="262">
        <f t="shared" si="12"/>
        <v>1447.63199</v>
      </c>
    </row>
    <row r="14" spans="1:32" ht="23.25" customHeight="1" thickBot="1">
      <c r="A14" s="277" t="s">
        <v>620</v>
      </c>
      <c r="B14" s="262"/>
      <c r="C14" s="262"/>
      <c r="D14" s="262"/>
      <c r="E14" s="262"/>
      <c r="F14" s="262"/>
      <c r="G14" s="262"/>
      <c r="H14" s="262"/>
      <c r="I14" s="261"/>
      <c r="J14" s="261"/>
      <c r="K14" s="261"/>
      <c r="L14" s="261"/>
      <c r="M14" s="262">
        <f t="shared" si="4"/>
        <v>0</v>
      </c>
      <c r="N14" s="261">
        <f t="shared" si="13"/>
        <v>0</v>
      </c>
      <c r="O14" s="262">
        <f t="shared" si="5"/>
        <v>0</v>
      </c>
      <c r="P14" s="261"/>
      <c r="Q14" s="265">
        <f t="shared" si="6"/>
        <v>0</v>
      </c>
      <c r="R14" s="261">
        <f t="shared" si="14"/>
        <v>0</v>
      </c>
      <c r="S14" s="261"/>
      <c r="T14" s="262"/>
      <c r="U14" s="262">
        <f t="shared" si="7"/>
        <v>0</v>
      </c>
      <c r="V14" s="261">
        <f t="shared" si="15"/>
        <v>0</v>
      </c>
      <c r="W14" s="262">
        <f t="shared" si="8"/>
        <v>0</v>
      </c>
      <c r="X14" s="262"/>
      <c r="Y14" s="262">
        <f t="shared" si="9"/>
        <v>0</v>
      </c>
      <c r="Z14" s="261">
        <f t="shared" si="16"/>
        <v>0</v>
      </c>
      <c r="AA14" s="262">
        <f t="shared" si="10"/>
        <v>0</v>
      </c>
      <c r="AB14" s="261"/>
      <c r="AC14" s="262">
        <f t="shared" si="11"/>
        <v>0</v>
      </c>
      <c r="AD14" s="261">
        <f>AC14/1000</f>
        <v>0</v>
      </c>
      <c r="AE14" s="262">
        <f t="shared" si="12"/>
        <v>0</v>
      </c>
      <c r="AF14" s="51"/>
    </row>
    <row r="15" spans="1:31" ht="23.25" customHeight="1" thickBot="1">
      <c r="A15" s="278" t="s">
        <v>621</v>
      </c>
      <c r="B15" s="262"/>
      <c r="C15" s="262"/>
      <c r="D15" s="262"/>
      <c r="E15" s="262"/>
      <c r="F15" s="262"/>
      <c r="G15" s="262"/>
      <c r="H15" s="262"/>
      <c r="I15" s="261"/>
      <c r="J15" s="261"/>
      <c r="K15" s="261"/>
      <c r="L15" s="261"/>
      <c r="M15" s="262">
        <f t="shared" si="4"/>
        <v>0</v>
      </c>
      <c r="N15" s="261">
        <f t="shared" si="13"/>
        <v>0</v>
      </c>
      <c r="O15" s="262">
        <f t="shared" si="5"/>
        <v>0</v>
      </c>
      <c r="P15" s="261"/>
      <c r="Q15" s="265">
        <f t="shared" si="6"/>
        <v>0</v>
      </c>
      <c r="R15" s="261">
        <f t="shared" si="14"/>
        <v>0</v>
      </c>
      <c r="S15" s="261"/>
      <c r="T15" s="261"/>
      <c r="U15" s="262">
        <f t="shared" si="7"/>
        <v>0</v>
      </c>
      <c r="V15" s="261">
        <f t="shared" si="15"/>
        <v>0</v>
      </c>
      <c r="W15" s="262">
        <f t="shared" si="8"/>
        <v>0</v>
      </c>
      <c r="X15" s="262"/>
      <c r="Y15" s="262">
        <f t="shared" si="9"/>
        <v>0</v>
      </c>
      <c r="Z15" s="261">
        <f t="shared" si="16"/>
        <v>0</v>
      </c>
      <c r="AA15" s="262">
        <f t="shared" si="10"/>
        <v>0</v>
      </c>
      <c r="AB15" s="261"/>
      <c r="AC15" s="261"/>
      <c r="AD15" s="261">
        <f>AC15/1000</f>
        <v>0</v>
      </c>
      <c r="AE15" s="262">
        <f t="shared" si="12"/>
        <v>0</v>
      </c>
    </row>
    <row r="16" spans="1:31" ht="35.25" customHeight="1" thickBot="1">
      <c r="A16" s="279" t="s">
        <v>622</v>
      </c>
      <c r="B16" s="269">
        <f>B6-B8</f>
        <v>224448259.33</v>
      </c>
      <c r="C16" s="269">
        <f>C6-C8</f>
        <v>122141798.07999995</v>
      </c>
      <c r="D16" s="269">
        <f>D6-D8</f>
        <v>119150322.90000007</v>
      </c>
      <c r="E16" s="269">
        <f>E6-E8</f>
        <v>465740380.3100003</v>
      </c>
      <c r="F16" s="269">
        <f>F6-F8</f>
        <v>633906.0503100003</v>
      </c>
      <c r="G16" s="269"/>
      <c r="H16" s="269">
        <f aca="true" t="shared" si="17" ref="H16:AD16">H6-H8</f>
        <v>154676848.07000002</v>
      </c>
      <c r="I16" s="269">
        <f t="shared" si="17"/>
        <v>210789.68906999996</v>
      </c>
      <c r="J16" s="269">
        <f t="shared" si="17"/>
        <v>620417228.3800004</v>
      </c>
      <c r="K16" s="269">
        <f t="shared" si="17"/>
        <v>844695.7393800002</v>
      </c>
      <c r="L16" s="269">
        <f t="shared" si="17"/>
        <v>11657325.889999926</v>
      </c>
      <c r="M16" s="269">
        <f t="shared" si="17"/>
        <v>632074554.2700005</v>
      </c>
      <c r="N16" s="269">
        <f t="shared" si="17"/>
        <v>68046.1218899999</v>
      </c>
      <c r="O16" s="269">
        <f t="shared" si="17"/>
        <v>912741.8612700002</v>
      </c>
      <c r="P16" s="269">
        <f t="shared" si="17"/>
        <v>52062984.19999994</v>
      </c>
      <c r="Q16" s="271">
        <f t="shared" si="17"/>
        <v>684137538.4700007</v>
      </c>
      <c r="R16" s="269">
        <f t="shared" si="17"/>
        <v>109074.2692</v>
      </c>
      <c r="S16" s="269">
        <f t="shared" si="17"/>
        <v>1021816.1304700002</v>
      </c>
      <c r="T16" s="269">
        <f t="shared" si="17"/>
        <v>106881626.00000006</v>
      </c>
      <c r="U16" s="270">
        <f t="shared" si="17"/>
        <v>791019164.4700009</v>
      </c>
      <c r="V16" s="272">
        <f t="shared" si="17"/>
        <v>163142.40000000002</v>
      </c>
      <c r="W16" s="269">
        <f t="shared" si="17"/>
        <v>1184958.5304700003</v>
      </c>
      <c r="X16" s="269">
        <f t="shared" si="17"/>
        <v>-20601969.370000005</v>
      </c>
      <c r="Y16" s="269">
        <f t="shared" si="17"/>
        <v>770417195.1000012</v>
      </c>
      <c r="Z16" s="272">
        <f t="shared" si="17"/>
        <v>35660.519630000024</v>
      </c>
      <c r="AA16" s="269">
        <f t="shared" si="17"/>
        <v>1220619.0501000006</v>
      </c>
      <c r="AB16" s="269">
        <f t="shared" si="17"/>
        <v>91120248.01000008</v>
      </c>
      <c r="AC16" s="269">
        <f t="shared" si="17"/>
        <v>861537443.1100011</v>
      </c>
      <c r="AD16" s="272">
        <f t="shared" si="17"/>
        <v>147380.11901000008</v>
      </c>
      <c r="AE16" s="269">
        <f>AE6-AE8</f>
        <v>1367999.1691100006</v>
      </c>
    </row>
    <row r="17" spans="1:31" ht="15.75" thickBot="1">
      <c r="A17" s="280"/>
      <c r="B17" s="261"/>
      <c r="C17" s="261"/>
      <c r="D17" s="261"/>
      <c r="E17" s="261"/>
      <c r="F17" s="261"/>
      <c r="G17" s="262"/>
      <c r="H17" s="261"/>
      <c r="I17" s="261"/>
      <c r="J17" s="261"/>
      <c r="K17" s="261"/>
      <c r="L17" s="261"/>
      <c r="M17" s="261"/>
      <c r="N17" s="261"/>
      <c r="O17" s="261"/>
      <c r="P17" s="261"/>
      <c r="Q17" s="263"/>
      <c r="R17" s="261"/>
      <c r="S17" s="261"/>
      <c r="T17" s="261"/>
      <c r="U17" s="261"/>
      <c r="V17" s="261"/>
      <c r="W17" s="261"/>
      <c r="X17" s="262"/>
      <c r="Y17" s="261"/>
      <c r="Z17" s="261"/>
      <c r="AA17" s="262"/>
      <c r="AB17" s="261"/>
      <c r="AC17" s="261"/>
      <c r="AD17" s="261"/>
      <c r="AE17" s="261"/>
    </row>
    <row r="18" spans="1:31" ht="16.5" thickBot="1">
      <c r="A18" s="281" t="s">
        <v>623</v>
      </c>
      <c r="B18" s="261"/>
      <c r="C18" s="261"/>
      <c r="D18" s="261"/>
      <c r="E18" s="261"/>
      <c r="F18" s="261"/>
      <c r="G18" s="262"/>
      <c r="H18" s="261"/>
      <c r="I18" s="261"/>
      <c r="J18" s="261"/>
      <c r="K18" s="261"/>
      <c r="L18" s="261"/>
      <c r="M18" s="261"/>
      <c r="N18" s="261"/>
      <c r="O18" s="261"/>
      <c r="P18" s="261"/>
      <c r="Q18" s="263"/>
      <c r="R18" s="261"/>
      <c r="S18" s="261"/>
      <c r="T18" s="261"/>
      <c r="U18" s="261"/>
      <c r="V18" s="261"/>
      <c r="W18" s="261"/>
      <c r="X18" s="262"/>
      <c r="Y18" s="261"/>
      <c r="Z18" s="261"/>
      <c r="AA18" s="261"/>
      <c r="AB18" s="261"/>
      <c r="AC18" s="261"/>
      <c r="AD18" s="261"/>
      <c r="AE18" s="261"/>
    </row>
    <row r="19" spans="1:31" ht="15">
      <c r="A19" s="282" t="s">
        <v>624</v>
      </c>
      <c r="B19" s="262">
        <f>2151644.43-5103.57</f>
        <v>2146540.8600000003</v>
      </c>
      <c r="C19" s="262">
        <v>2638431.03</v>
      </c>
      <c r="D19" s="262">
        <v>2937128.42</v>
      </c>
      <c r="E19" s="262">
        <f aca="true" t="shared" si="18" ref="E19:E28">B19+C19+D19</f>
        <v>7722100.3100000005</v>
      </c>
      <c r="F19" s="262">
        <f>E19/1000</f>
        <v>7722.100310000001</v>
      </c>
      <c r="G19" s="262"/>
      <c r="H19" s="262">
        <v>3441990.76</v>
      </c>
      <c r="I19" s="261">
        <f>H19/1000</f>
        <v>3441.9907599999997</v>
      </c>
      <c r="J19" s="262">
        <f aca="true" t="shared" si="19" ref="J19:K28">E19+H19</f>
        <v>11164091.07</v>
      </c>
      <c r="K19" s="262">
        <f>F19+I19</f>
        <v>11164.09107</v>
      </c>
      <c r="L19" s="261">
        <v>3364377.58</v>
      </c>
      <c r="M19" s="262">
        <f>J19+L19</f>
        <v>14528468.65</v>
      </c>
      <c r="N19" s="261">
        <f>L19/1000</f>
        <v>3364.37758</v>
      </c>
      <c r="O19" s="262">
        <f aca="true" t="shared" si="20" ref="O19:O29">K19+N19</f>
        <v>14528.46865</v>
      </c>
      <c r="P19" s="262">
        <f>3514680.9</f>
        <v>3514680.9</v>
      </c>
      <c r="Q19" s="265">
        <f aca="true" t="shared" si="21" ref="Q19:Q29">M19+P19</f>
        <v>18043149.55</v>
      </c>
      <c r="R19" s="261">
        <f>P19/1000</f>
        <v>3514.6809</v>
      </c>
      <c r="S19" s="261">
        <f>Q19/1000</f>
        <v>18043.149550000002</v>
      </c>
      <c r="T19" s="261">
        <v>4648145.94</v>
      </c>
      <c r="U19" s="262">
        <f aca="true" t="shared" si="22" ref="U19:U29">Q19+T19</f>
        <v>22691295.490000002</v>
      </c>
      <c r="V19" s="261">
        <f>T19/1000</f>
        <v>4648.14594</v>
      </c>
      <c r="W19" s="262">
        <f aca="true" t="shared" si="23" ref="W19:W29">S19+V19</f>
        <v>22691.295490000004</v>
      </c>
      <c r="X19" s="262">
        <v>3050038.75</v>
      </c>
      <c r="Y19" s="262">
        <f aca="true" t="shared" si="24" ref="Y19:Y29">U19+X19</f>
        <v>25741334.240000002</v>
      </c>
      <c r="Z19" s="261">
        <f>X19/1000</f>
        <v>3050.03875</v>
      </c>
      <c r="AA19" s="262">
        <f>W19+Z19</f>
        <v>25741.334240000004</v>
      </c>
      <c r="AB19" s="261">
        <v>2795398.84</v>
      </c>
      <c r="AC19" s="262">
        <f aca="true" t="shared" si="25" ref="AC19:AC29">Y19+AB19</f>
        <v>28536733.080000002</v>
      </c>
      <c r="AD19" s="261">
        <f>AB19/1000</f>
        <v>2795.39884</v>
      </c>
      <c r="AE19" s="262">
        <f aca="true" t="shared" si="26" ref="AE19:AE29">AA19+AD19</f>
        <v>28536.733080000005</v>
      </c>
    </row>
    <row r="20" spans="1:31" ht="15">
      <c r="A20" s="264" t="s">
        <v>625</v>
      </c>
      <c r="B20" s="262">
        <v>5103.57</v>
      </c>
      <c r="C20" s="262">
        <v>5103.57</v>
      </c>
      <c r="D20" s="262">
        <v>20414.28</v>
      </c>
      <c r="E20" s="262">
        <f t="shared" si="18"/>
        <v>30621.42</v>
      </c>
      <c r="F20" s="262">
        <f aca="true" t="shared" si="27" ref="F20:F28">E20/1000</f>
        <v>30.621419999999997</v>
      </c>
      <c r="G20" s="262"/>
      <c r="H20" s="262">
        <v>25517.85</v>
      </c>
      <c r="I20" s="261">
        <f aca="true" t="shared" si="28" ref="I20:I28">H20/1000</f>
        <v>25.51785</v>
      </c>
      <c r="J20" s="262">
        <f t="shared" si="19"/>
        <v>56139.27</v>
      </c>
      <c r="K20" s="262">
        <f t="shared" si="19"/>
        <v>56.139269999999996</v>
      </c>
      <c r="L20" s="261"/>
      <c r="M20" s="262">
        <f aca="true" t="shared" si="29" ref="M20:M29">J20+L20</f>
        <v>56139.27</v>
      </c>
      <c r="N20" s="261">
        <f aca="true" t="shared" si="30" ref="N20:N29">L20/1000</f>
        <v>0</v>
      </c>
      <c r="O20" s="262">
        <f t="shared" si="20"/>
        <v>56.139269999999996</v>
      </c>
      <c r="P20" s="262">
        <v>5103.57</v>
      </c>
      <c r="Q20" s="265">
        <f t="shared" si="21"/>
        <v>61242.84</v>
      </c>
      <c r="R20" s="261">
        <f aca="true" t="shared" si="31" ref="R20:S29">P20/1000</f>
        <v>5.1035699999999995</v>
      </c>
      <c r="S20" s="261">
        <f t="shared" si="31"/>
        <v>61.242839999999994</v>
      </c>
      <c r="T20" s="261"/>
      <c r="U20" s="262">
        <f t="shared" si="22"/>
        <v>61242.84</v>
      </c>
      <c r="V20" s="261">
        <f aca="true" t="shared" si="32" ref="V20:V29">T20/1000</f>
        <v>0</v>
      </c>
      <c r="W20" s="262">
        <f t="shared" si="23"/>
        <v>61.242839999999994</v>
      </c>
      <c r="X20" s="262">
        <v>5103.57</v>
      </c>
      <c r="Y20" s="262">
        <f t="shared" si="24"/>
        <v>66346.41</v>
      </c>
      <c r="Z20" s="261">
        <f aca="true" t="shared" si="33" ref="Z20:Z29">X20/1000</f>
        <v>5.1035699999999995</v>
      </c>
      <c r="AA20" s="262">
        <f aca="true" t="shared" si="34" ref="AA20:AA29">W20+Z20</f>
        <v>66.34640999999999</v>
      </c>
      <c r="AB20" s="261"/>
      <c r="AC20" s="262">
        <f t="shared" si="25"/>
        <v>66346.41</v>
      </c>
      <c r="AD20" s="261"/>
      <c r="AE20" s="262">
        <f t="shared" si="26"/>
        <v>66.34640999999999</v>
      </c>
    </row>
    <row r="21" spans="1:32" ht="15">
      <c r="A21" s="264" t="s">
        <v>626</v>
      </c>
      <c r="B21" s="262">
        <v>392710.02</v>
      </c>
      <c r="C21" s="262">
        <v>899582.81</v>
      </c>
      <c r="D21" s="262">
        <v>849824.66</v>
      </c>
      <c r="E21" s="262">
        <f t="shared" si="18"/>
        <v>2142117.49</v>
      </c>
      <c r="F21" s="262">
        <f t="shared" si="27"/>
        <v>2142.11749</v>
      </c>
      <c r="G21" s="262"/>
      <c r="H21" s="262">
        <v>688781.45</v>
      </c>
      <c r="I21" s="261">
        <f t="shared" si="28"/>
        <v>688.78145</v>
      </c>
      <c r="J21" s="262">
        <f t="shared" si="19"/>
        <v>2830898.9400000004</v>
      </c>
      <c r="K21" s="262">
        <f t="shared" si="19"/>
        <v>2830.89894</v>
      </c>
      <c r="L21" s="261">
        <v>596168.25</v>
      </c>
      <c r="M21" s="262">
        <f t="shared" si="29"/>
        <v>3427067.1900000004</v>
      </c>
      <c r="N21" s="261">
        <f t="shared" si="30"/>
        <v>596.16825</v>
      </c>
      <c r="O21" s="262">
        <f t="shared" si="20"/>
        <v>3427.0671899999998</v>
      </c>
      <c r="P21" s="262">
        <f>311231769-310000000-644583.34</f>
        <v>587185.66</v>
      </c>
      <c r="Q21" s="265">
        <f t="shared" si="21"/>
        <v>4014252.8500000006</v>
      </c>
      <c r="R21" s="261">
        <f t="shared" si="31"/>
        <v>587.18566</v>
      </c>
      <c r="S21" s="261">
        <f t="shared" si="31"/>
        <v>4014.2528500000008</v>
      </c>
      <c r="T21" s="261">
        <v>724502.27</v>
      </c>
      <c r="U21" s="262">
        <f t="shared" si="22"/>
        <v>4738755.120000001</v>
      </c>
      <c r="V21" s="261">
        <f t="shared" si="32"/>
        <v>724.5022700000001</v>
      </c>
      <c r="W21" s="262">
        <f t="shared" si="23"/>
        <v>4738.755120000001</v>
      </c>
      <c r="X21" s="262">
        <v>1067453.98</v>
      </c>
      <c r="Y21" s="262">
        <f t="shared" si="24"/>
        <v>5806209.1000000015</v>
      </c>
      <c r="Z21" s="261">
        <f t="shared" si="33"/>
        <v>1067.45398</v>
      </c>
      <c r="AA21" s="262">
        <f t="shared" si="34"/>
        <v>5806.209100000001</v>
      </c>
      <c r="AB21" s="261">
        <f>3213129.94-2284261.69</f>
        <v>928868.25</v>
      </c>
      <c r="AC21" s="262">
        <f t="shared" si="25"/>
        <v>6735077.3500000015</v>
      </c>
      <c r="AD21" s="261">
        <f>AB21/1000</f>
        <v>928.86825</v>
      </c>
      <c r="AE21" s="262">
        <f t="shared" si="26"/>
        <v>6735.077350000001</v>
      </c>
      <c r="AF21" s="51"/>
    </row>
    <row r="22" spans="1:31" ht="15">
      <c r="A22" s="264" t="s">
        <v>627</v>
      </c>
      <c r="B22" s="262"/>
      <c r="C22" s="262"/>
      <c r="D22" s="262"/>
      <c r="E22" s="262">
        <f t="shared" si="18"/>
        <v>0</v>
      </c>
      <c r="F22" s="262">
        <f t="shared" si="27"/>
        <v>0</v>
      </c>
      <c r="G22" s="262"/>
      <c r="H22" s="262"/>
      <c r="I22" s="261">
        <f t="shared" si="28"/>
        <v>0</v>
      </c>
      <c r="J22" s="262">
        <f t="shared" si="19"/>
        <v>0</v>
      </c>
      <c r="K22" s="262">
        <f t="shared" si="19"/>
        <v>0</v>
      </c>
      <c r="L22" s="261"/>
      <c r="M22" s="262">
        <f t="shared" si="29"/>
        <v>0</v>
      </c>
      <c r="N22" s="261">
        <f t="shared" si="30"/>
        <v>0</v>
      </c>
      <c r="O22" s="262">
        <f t="shared" si="20"/>
        <v>0</v>
      </c>
      <c r="P22" s="262">
        <v>598968.01</v>
      </c>
      <c r="Q22" s="265">
        <f t="shared" si="21"/>
        <v>598968.01</v>
      </c>
      <c r="R22" s="261">
        <f t="shared" si="31"/>
        <v>598.96801</v>
      </c>
      <c r="S22" s="261">
        <f t="shared" si="31"/>
        <v>598.96801</v>
      </c>
      <c r="T22" s="261"/>
      <c r="U22" s="262">
        <f t="shared" si="22"/>
        <v>598968.01</v>
      </c>
      <c r="V22" s="261">
        <f t="shared" si="32"/>
        <v>0</v>
      </c>
      <c r="W22" s="262">
        <f t="shared" si="23"/>
        <v>598.96801</v>
      </c>
      <c r="X22" s="262"/>
      <c r="Y22" s="262">
        <f t="shared" si="24"/>
        <v>598968.01</v>
      </c>
      <c r="Z22" s="261">
        <f t="shared" si="33"/>
        <v>0</v>
      </c>
      <c r="AA22" s="262">
        <f t="shared" si="34"/>
        <v>598.96801</v>
      </c>
      <c r="AB22" s="262"/>
      <c r="AC22" s="262">
        <f t="shared" si="25"/>
        <v>598968.01</v>
      </c>
      <c r="AD22" s="261"/>
      <c r="AE22" s="262">
        <f t="shared" si="26"/>
        <v>598.96801</v>
      </c>
    </row>
    <row r="23" spans="1:31" ht="15">
      <c r="A23" s="264" t="s">
        <v>628</v>
      </c>
      <c r="B23" s="262"/>
      <c r="C23" s="262"/>
      <c r="D23" s="262"/>
      <c r="E23" s="262">
        <f t="shared" si="18"/>
        <v>0</v>
      </c>
      <c r="F23" s="262">
        <f t="shared" si="27"/>
        <v>0</v>
      </c>
      <c r="G23" s="262"/>
      <c r="H23" s="262"/>
      <c r="I23" s="261">
        <f t="shared" si="28"/>
        <v>0</v>
      </c>
      <c r="J23" s="262">
        <f t="shared" si="19"/>
        <v>0</v>
      </c>
      <c r="K23" s="262">
        <f t="shared" si="19"/>
        <v>0</v>
      </c>
      <c r="L23" s="261"/>
      <c r="M23" s="262">
        <f t="shared" si="29"/>
        <v>0</v>
      </c>
      <c r="N23" s="261">
        <f t="shared" si="30"/>
        <v>0</v>
      </c>
      <c r="O23" s="262">
        <f t="shared" si="20"/>
        <v>0</v>
      </c>
      <c r="P23" s="262"/>
      <c r="Q23" s="265">
        <f t="shared" si="21"/>
        <v>0</v>
      </c>
      <c r="R23" s="261">
        <f t="shared" si="31"/>
        <v>0</v>
      </c>
      <c r="S23" s="261">
        <f t="shared" si="31"/>
        <v>0</v>
      </c>
      <c r="T23" s="261"/>
      <c r="U23" s="262">
        <f t="shared" si="22"/>
        <v>0</v>
      </c>
      <c r="V23" s="261">
        <f t="shared" si="32"/>
        <v>0</v>
      </c>
      <c r="W23" s="262">
        <f t="shared" si="23"/>
        <v>0</v>
      </c>
      <c r="X23" s="262"/>
      <c r="Y23" s="262">
        <f t="shared" si="24"/>
        <v>0</v>
      </c>
      <c r="Z23" s="261">
        <f t="shared" si="33"/>
        <v>0</v>
      </c>
      <c r="AA23" s="262">
        <f t="shared" si="34"/>
        <v>0</v>
      </c>
      <c r="AB23" s="261"/>
      <c r="AC23" s="262">
        <f t="shared" si="25"/>
        <v>0</v>
      </c>
      <c r="AD23" s="261"/>
      <c r="AE23" s="262">
        <f t="shared" si="26"/>
        <v>0</v>
      </c>
    </row>
    <row r="24" spans="1:31" ht="15">
      <c r="A24" s="264" t="s">
        <v>629</v>
      </c>
      <c r="B24" s="262"/>
      <c r="C24" s="262"/>
      <c r="D24" s="262">
        <v>16782120</v>
      </c>
      <c r="E24" s="262">
        <f t="shared" si="18"/>
        <v>16782120</v>
      </c>
      <c r="F24" s="262">
        <f t="shared" si="27"/>
        <v>16782.12</v>
      </c>
      <c r="G24" s="262"/>
      <c r="H24" s="262"/>
      <c r="I24" s="261">
        <f t="shared" si="28"/>
        <v>0</v>
      </c>
      <c r="J24" s="262">
        <f t="shared" si="19"/>
        <v>16782120</v>
      </c>
      <c r="K24" s="262">
        <f t="shared" si="19"/>
        <v>16782.12</v>
      </c>
      <c r="L24" s="261"/>
      <c r="M24" s="262">
        <f t="shared" si="29"/>
        <v>16782120</v>
      </c>
      <c r="N24" s="261">
        <f t="shared" si="30"/>
        <v>0</v>
      </c>
      <c r="O24" s="262">
        <f t="shared" si="20"/>
        <v>16782.12</v>
      </c>
      <c r="P24" s="262">
        <v>16782120</v>
      </c>
      <c r="Q24" s="265">
        <f t="shared" si="21"/>
        <v>33564240</v>
      </c>
      <c r="R24" s="261">
        <f t="shared" si="31"/>
        <v>16782.12</v>
      </c>
      <c r="S24" s="261">
        <f t="shared" si="31"/>
        <v>33564.24</v>
      </c>
      <c r="T24" s="261"/>
      <c r="U24" s="262">
        <f t="shared" si="22"/>
        <v>33564240</v>
      </c>
      <c r="V24" s="261">
        <f t="shared" si="32"/>
        <v>0</v>
      </c>
      <c r="W24" s="262">
        <f t="shared" si="23"/>
        <v>33564.24</v>
      </c>
      <c r="X24" s="262"/>
      <c r="Y24" s="262">
        <f t="shared" si="24"/>
        <v>33564240</v>
      </c>
      <c r="Z24" s="261">
        <f t="shared" si="33"/>
        <v>0</v>
      </c>
      <c r="AA24" s="262">
        <f t="shared" si="34"/>
        <v>33564.24</v>
      </c>
      <c r="AB24" s="261">
        <v>16782120</v>
      </c>
      <c r="AC24" s="262">
        <f t="shared" si="25"/>
        <v>50346360</v>
      </c>
      <c r="AD24" s="261">
        <f>AB24/1000</f>
        <v>16782.12</v>
      </c>
      <c r="AE24" s="262">
        <f t="shared" si="26"/>
        <v>50346.36</v>
      </c>
    </row>
    <row r="25" spans="1:31" ht="15">
      <c r="A25" s="264" t="s">
        <v>630</v>
      </c>
      <c r="B25" s="262"/>
      <c r="C25" s="262"/>
      <c r="D25" s="262"/>
      <c r="E25" s="262">
        <f t="shared" si="18"/>
        <v>0</v>
      </c>
      <c r="F25" s="262">
        <f t="shared" si="27"/>
        <v>0</v>
      </c>
      <c r="G25" s="262"/>
      <c r="H25" s="262"/>
      <c r="I25" s="261">
        <f t="shared" si="28"/>
        <v>0</v>
      </c>
      <c r="J25" s="262">
        <f t="shared" si="19"/>
        <v>0</v>
      </c>
      <c r="K25" s="262">
        <f t="shared" si="19"/>
        <v>0</v>
      </c>
      <c r="L25" s="261"/>
      <c r="M25" s="262">
        <f t="shared" si="29"/>
        <v>0</v>
      </c>
      <c r="N25" s="261">
        <f t="shared" si="30"/>
        <v>0</v>
      </c>
      <c r="O25" s="262">
        <f t="shared" si="20"/>
        <v>0</v>
      </c>
      <c r="P25" s="262"/>
      <c r="Q25" s="265">
        <f t="shared" si="21"/>
        <v>0</v>
      </c>
      <c r="R25" s="261">
        <f t="shared" si="31"/>
        <v>0</v>
      </c>
      <c r="S25" s="261">
        <f t="shared" si="31"/>
        <v>0</v>
      </c>
      <c r="T25" s="261"/>
      <c r="U25" s="262">
        <f t="shared" si="22"/>
        <v>0</v>
      </c>
      <c r="V25" s="261">
        <f t="shared" si="32"/>
        <v>0</v>
      </c>
      <c r="W25" s="262">
        <f t="shared" si="23"/>
        <v>0</v>
      </c>
      <c r="X25" s="262"/>
      <c r="Y25" s="262">
        <f t="shared" si="24"/>
        <v>0</v>
      </c>
      <c r="Z25" s="261">
        <f t="shared" si="33"/>
        <v>0</v>
      </c>
      <c r="AA25" s="262">
        <f t="shared" si="34"/>
        <v>0</v>
      </c>
      <c r="AB25" s="261"/>
      <c r="AC25" s="262">
        <f t="shared" si="25"/>
        <v>0</v>
      </c>
      <c r="AD25" s="261"/>
      <c r="AE25" s="262">
        <f t="shared" si="26"/>
        <v>0</v>
      </c>
    </row>
    <row r="26" spans="1:31" ht="30">
      <c r="A26" s="264" t="s">
        <v>656</v>
      </c>
      <c r="B26" s="262"/>
      <c r="C26" s="262"/>
      <c r="D26" s="262"/>
      <c r="E26" s="262">
        <f t="shared" si="18"/>
        <v>0</v>
      </c>
      <c r="F26" s="262">
        <f t="shared" si="27"/>
        <v>0</v>
      </c>
      <c r="G26" s="262"/>
      <c r="H26" s="262"/>
      <c r="I26" s="261">
        <f t="shared" si="28"/>
        <v>0</v>
      </c>
      <c r="J26" s="262">
        <f t="shared" si="19"/>
        <v>0</v>
      </c>
      <c r="K26" s="262">
        <f t="shared" si="19"/>
        <v>0</v>
      </c>
      <c r="L26" s="261"/>
      <c r="M26" s="262">
        <f t="shared" si="29"/>
        <v>0</v>
      </c>
      <c r="N26" s="261">
        <f t="shared" si="30"/>
        <v>0</v>
      </c>
      <c r="O26" s="262">
        <f t="shared" si="20"/>
        <v>0</v>
      </c>
      <c r="P26" s="262">
        <v>149540.29</v>
      </c>
      <c r="Q26" s="265">
        <f t="shared" si="21"/>
        <v>149540.29</v>
      </c>
      <c r="R26" s="261">
        <f t="shared" si="31"/>
        <v>149.54029</v>
      </c>
      <c r="S26" s="261">
        <f t="shared" si="31"/>
        <v>149.54029</v>
      </c>
      <c r="T26" s="261"/>
      <c r="U26" s="262">
        <f t="shared" si="22"/>
        <v>149540.29</v>
      </c>
      <c r="V26" s="261">
        <f t="shared" si="32"/>
        <v>0</v>
      </c>
      <c r="W26" s="262">
        <f t="shared" si="23"/>
        <v>149.54029</v>
      </c>
      <c r="X26" s="262"/>
      <c r="Y26" s="262">
        <f t="shared" si="24"/>
        <v>149540.29</v>
      </c>
      <c r="Z26" s="261">
        <f t="shared" si="33"/>
        <v>0</v>
      </c>
      <c r="AA26" s="262">
        <f t="shared" si="34"/>
        <v>149.54029</v>
      </c>
      <c r="AB26" s="261"/>
      <c r="AC26" s="262">
        <f t="shared" si="25"/>
        <v>149540.29</v>
      </c>
      <c r="AD26" s="261"/>
      <c r="AE26" s="262">
        <f t="shared" si="26"/>
        <v>149.54029</v>
      </c>
    </row>
    <row r="27" spans="1:31" ht="15">
      <c r="A27" s="277" t="s">
        <v>631</v>
      </c>
      <c r="B27" s="262"/>
      <c r="C27" s="262">
        <v>18784034.8</v>
      </c>
      <c r="D27" s="262">
        <v>3930253.9</v>
      </c>
      <c r="E27" s="262">
        <f t="shared" si="18"/>
        <v>22714288.7</v>
      </c>
      <c r="F27" s="262">
        <f t="shared" si="27"/>
        <v>22714.2887</v>
      </c>
      <c r="G27" s="262"/>
      <c r="H27" s="262"/>
      <c r="I27" s="261">
        <f t="shared" si="28"/>
        <v>0</v>
      </c>
      <c r="J27" s="262">
        <f t="shared" si="19"/>
        <v>22714288.7</v>
      </c>
      <c r="K27" s="262">
        <f t="shared" si="19"/>
        <v>22714.2887</v>
      </c>
      <c r="L27" s="261"/>
      <c r="M27" s="262">
        <f t="shared" si="29"/>
        <v>22714288.7</v>
      </c>
      <c r="N27" s="261">
        <f t="shared" si="30"/>
        <v>0</v>
      </c>
      <c r="O27" s="262">
        <f t="shared" si="20"/>
        <v>22714.2887</v>
      </c>
      <c r="P27" s="262"/>
      <c r="Q27" s="265">
        <f t="shared" si="21"/>
        <v>22714288.7</v>
      </c>
      <c r="R27" s="261">
        <f t="shared" si="31"/>
        <v>0</v>
      </c>
      <c r="S27" s="261">
        <f t="shared" si="31"/>
        <v>22714.2887</v>
      </c>
      <c r="T27" s="262"/>
      <c r="U27" s="262">
        <f t="shared" si="22"/>
        <v>22714288.7</v>
      </c>
      <c r="V27" s="261">
        <f t="shared" si="32"/>
        <v>0</v>
      </c>
      <c r="W27" s="262">
        <f t="shared" si="23"/>
        <v>22714.2887</v>
      </c>
      <c r="X27" s="262">
        <v>1140295.18</v>
      </c>
      <c r="Y27" s="262">
        <f t="shared" si="24"/>
        <v>23854583.88</v>
      </c>
      <c r="Z27" s="261">
        <f t="shared" si="33"/>
        <v>1140.2951799999998</v>
      </c>
      <c r="AA27" s="262">
        <f t="shared" si="34"/>
        <v>23854.583880000002</v>
      </c>
      <c r="AB27" s="261"/>
      <c r="AC27" s="262">
        <f t="shared" si="25"/>
        <v>23854583.88</v>
      </c>
      <c r="AD27" s="261"/>
      <c r="AE27" s="262">
        <f t="shared" si="26"/>
        <v>23854.583880000002</v>
      </c>
    </row>
    <row r="28" spans="1:31" ht="15">
      <c r="A28" s="283" t="s">
        <v>632</v>
      </c>
      <c r="B28" s="262"/>
      <c r="C28" s="262"/>
      <c r="D28" s="262"/>
      <c r="E28" s="262">
        <f t="shared" si="18"/>
        <v>0</v>
      </c>
      <c r="F28" s="262">
        <f t="shared" si="27"/>
        <v>0</v>
      </c>
      <c r="G28" s="262"/>
      <c r="H28" s="262">
        <v>124152</v>
      </c>
      <c r="I28" s="261">
        <f t="shared" si="28"/>
        <v>124.152</v>
      </c>
      <c r="J28" s="262">
        <f t="shared" si="19"/>
        <v>124152</v>
      </c>
      <c r="K28" s="262">
        <f t="shared" si="19"/>
        <v>124.152</v>
      </c>
      <c r="L28" s="261"/>
      <c r="M28" s="262">
        <f t="shared" si="29"/>
        <v>124152</v>
      </c>
      <c r="N28" s="261">
        <f t="shared" si="30"/>
        <v>0</v>
      </c>
      <c r="O28" s="262">
        <f t="shared" si="20"/>
        <v>124.152</v>
      </c>
      <c r="P28" s="262"/>
      <c r="Q28" s="265">
        <f t="shared" si="21"/>
        <v>124152</v>
      </c>
      <c r="R28" s="261">
        <f t="shared" si="31"/>
        <v>0</v>
      </c>
      <c r="S28" s="261">
        <f t="shared" si="31"/>
        <v>124.152</v>
      </c>
      <c r="T28" s="262"/>
      <c r="U28" s="262">
        <f t="shared" si="22"/>
        <v>124152</v>
      </c>
      <c r="V28" s="261">
        <f t="shared" si="32"/>
        <v>0</v>
      </c>
      <c r="W28" s="262">
        <f t="shared" si="23"/>
        <v>124.152</v>
      </c>
      <c r="X28" s="262"/>
      <c r="Y28" s="262">
        <f t="shared" si="24"/>
        <v>124152</v>
      </c>
      <c r="Z28" s="261">
        <f t="shared" si="33"/>
        <v>0</v>
      </c>
      <c r="AA28" s="262">
        <f t="shared" si="34"/>
        <v>124.152</v>
      </c>
      <c r="AB28" s="261"/>
      <c r="AC28" s="262">
        <f t="shared" si="25"/>
        <v>124152</v>
      </c>
      <c r="AD28" s="261"/>
      <c r="AE28" s="262">
        <f t="shared" si="26"/>
        <v>124.152</v>
      </c>
    </row>
    <row r="29" spans="1:31" ht="15">
      <c r="A29" s="284" t="s">
        <v>633</v>
      </c>
      <c r="B29" s="262"/>
      <c r="C29" s="262"/>
      <c r="D29" s="262"/>
      <c r="E29" s="262"/>
      <c r="F29" s="262"/>
      <c r="G29" s="262"/>
      <c r="H29" s="262"/>
      <c r="I29" s="261"/>
      <c r="J29" s="262"/>
      <c r="K29" s="262"/>
      <c r="L29" s="261">
        <v>230208.33</v>
      </c>
      <c r="M29" s="262">
        <f t="shared" si="29"/>
        <v>230208.33</v>
      </c>
      <c r="N29" s="261">
        <f t="shared" si="30"/>
        <v>230.20833</v>
      </c>
      <c r="O29" s="262">
        <f t="shared" si="20"/>
        <v>230.20833</v>
      </c>
      <c r="P29" s="262">
        <v>644583.34</v>
      </c>
      <c r="Q29" s="265">
        <f t="shared" si="21"/>
        <v>874791.6699999999</v>
      </c>
      <c r="R29" s="261">
        <f t="shared" si="31"/>
        <v>644.58334</v>
      </c>
      <c r="S29" s="261">
        <f t="shared" si="31"/>
        <v>874.79167</v>
      </c>
      <c r="T29" s="261"/>
      <c r="U29" s="262">
        <f t="shared" si="22"/>
        <v>874791.6699999999</v>
      </c>
      <c r="V29" s="261">
        <f t="shared" si="32"/>
        <v>0</v>
      </c>
      <c r="W29" s="262">
        <f t="shared" si="23"/>
        <v>874.79167</v>
      </c>
      <c r="X29" s="262">
        <v>2054654.15</v>
      </c>
      <c r="Y29" s="262">
        <f t="shared" si="24"/>
        <v>2929445.82</v>
      </c>
      <c r="Z29" s="261">
        <f t="shared" si="33"/>
        <v>2054.65415</v>
      </c>
      <c r="AA29" s="262">
        <f t="shared" si="34"/>
        <v>2929.44582</v>
      </c>
      <c r="AB29" s="262">
        <v>2284261.69</v>
      </c>
      <c r="AC29" s="262">
        <f t="shared" si="25"/>
        <v>5213707.51</v>
      </c>
      <c r="AD29" s="261">
        <f>AB29/1000</f>
        <v>2284.26169</v>
      </c>
      <c r="AE29" s="262">
        <f t="shared" si="26"/>
        <v>5213.70751</v>
      </c>
    </row>
    <row r="30" spans="1:31" ht="16.5" thickBot="1">
      <c r="A30" s="285" t="s">
        <v>634</v>
      </c>
      <c r="B30" s="269">
        <f>SUM(B19:B28)</f>
        <v>2544354.45</v>
      </c>
      <c r="C30" s="269">
        <f>SUM(C19:C28)</f>
        <v>22327152.21</v>
      </c>
      <c r="D30" s="269">
        <f>SUM(D19:D28)</f>
        <v>24519741.259999998</v>
      </c>
      <c r="E30" s="269">
        <f>SUM(E19:E28)</f>
        <v>49391247.92</v>
      </c>
      <c r="F30" s="269">
        <f>SUM(F19:F28)</f>
        <v>49391.24792</v>
      </c>
      <c r="G30" s="269"/>
      <c r="H30" s="269">
        <f>SUM(H19:H28)</f>
        <v>4280442.06</v>
      </c>
      <c r="I30" s="272">
        <f>SUM(I19:I28)</f>
        <v>4280.442059999999</v>
      </c>
      <c r="J30" s="269">
        <f>SUM(J19:J28)</f>
        <v>53671689.980000004</v>
      </c>
      <c r="K30" s="269">
        <f>SUM(K19:K28)</f>
        <v>53671.68998</v>
      </c>
      <c r="L30" s="269">
        <f aca="true" t="shared" si="35" ref="L30:AD30">SUM(L19:L29)</f>
        <v>4190754.16</v>
      </c>
      <c r="M30" s="269">
        <f t="shared" si="35"/>
        <v>57862444.14</v>
      </c>
      <c r="N30" s="272">
        <f t="shared" si="35"/>
        <v>4190.75416</v>
      </c>
      <c r="O30" s="269">
        <f t="shared" si="35"/>
        <v>57862.44414</v>
      </c>
      <c r="P30" s="270">
        <f t="shared" si="35"/>
        <v>22282181.77</v>
      </c>
      <c r="Q30" s="271">
        <f t="shared" si="35"/>
        <v>80144625.91</v>
      </c>
      <c r="R30" s="270">
        <f t="shared" si="35"/>
        <v>22282.181770000003</v>
      </c>
      <c r="S30" s="269">
        <f t="shared" si="35"/>
        <v>80144.62591</v>
      </c>
      <c r="T30" s="269">
        <f t="shared" si="35"/>
        <v>5372648.210000001</v>
      </c>
      <c r="U30" s="269">
        <f t="shared" si="35"/>
        <v>85517274.12</v>
      </c>
      <c r="V30" s="272">
        <f t="shared" si="35"/>
        <v>5372.64821</v>
      </c>
      <c r="W30" s="269">
        <f t="shared" si="35"/>
        <v>85517.27412</v>
      </c>
      <c r="X30" s="269">
        <f t="shared" si="35"/>
        <v>7317545.629999999</v>
      </c>
      <c r="Y30" s="269">
        <f t="shared" si="35"/>
        <v>92834819.75</v>
      </c>
      <c r="Z30" s="272">
        <f t="shared" si="35"/>
        <v>7317.5456300000005</v>
      </c>
      <c r="AA30" s="269">
        <f t="shared" si="35"/>
        <v>92834.81975000001</v>
      </c>
      <c r="AB30" s="269">
        <f t="shared" si="35"/>
        <v>22790648.78</v>
      </c>
      <c r="AC30" s="269">
        <f t="shared" si="35"/>
        <v>115625468.53</v>
      </c>
      <c r="AD30" s="269">
        <f t="shared" si="35"/>
        <v>22790.64878</v>
      </c>
      <c r="AE30" s="269">
        <f>SUM(AE19:AE29)</f>
        <v>115625.46853000001</v>
      </c>
    </row>
    <row r="31" spans="1:31" ht="15">
      <c r="A31" s="282"/>
      <c r="B31" s="261"/>
      <c r="C31" s="261"/>
      <c r="D31" s="261"/>
      <c r="E31" s="262">
        <f>E30-E21</f>
        <v>47249130.43</v>
      </c>
      <c r="F31" s="261"/>
      <c r="G31" s="262"/>
      <c r="H31" s="261"/>
      <c r="I31" s="261"/>
      <c r="J31" s="261"/>
      <c r="K31" s="261"/>
      <c r="L31" s="261"/>
      <c r="M31" s="261"/>
      <c r="N31" s="261"/>
      <c r="O31" s="261"/>
      <c r="P31" s="261"/>
      <c r="Q31" s="263"/>
      <c r="R31" s="261"/>
      <c r="S31" s="261"/>
      <c r="T31" s="261"/>
      <c r="U31" s="261"/>
      <c r="V31" s="261"/>
      <c r="W31" s="261"/>
      <c r="X31" s="262"/>
      <c r="Y31" s="261"/>
      <c r="Z31" s="261"/>
      <c r="AA31" s="261"/>
      <c r="AB31" s="261"/>
      <c r="AC31" s="261"/>
      <c r="AD31" s="261"/>
      <c r="AE31" s="261"/>
    </row>
    <row r="32" spans="1:31" ht="15.75">
      <c r="A32" s="286" t="s">
        <v>635</v>
      </c>
      <c r="B32" s="261"/>
      <c r="C32" s="261"/>
      <c r="D32" s="261"/>
      <c r="E32" s="261"/>
      <c r="F32" s="261"/>
      <c r="G32" s="262"/>
      <c r="H32" s="262"/>
      <c r="I32" s="261"/>
      <c r="J32" s="261"/>
      <c r="K32" s="261"/>
      <c r="L32" s="261"/>
      <c r="M32" s="261"/>
      <c r="N32" s="261"/>
      <c r="O32" s="261"/>
      <c r="P32" s="261"/>
      <c r="Q32" s="263"/>
      <c r="R32" s="261"/>
      <c r="S32" s="261"/>
      <c r="T32" s="261"/>
      <c r="U32" s="261"/>
      <c r="V32" s="261"/>
      <c r="W32" s="261"/>
      <c r="X32" s="262"/>
      <c r="Y32" s="261"/>
      <c r="Z32" s="261"/>
      <c r="AA32" s="261"/>
      <c r="AB32" s="261"/>
      <c r="AC32" s="261"/>
      <c r="AD32" s="261"/>
      <c r="AE32" s="261"/>
    </row>
    <row r="33" spans="1:31" ht="15">
      <c r="A33" s="283" t="s">
        <v>636</v>
      </c>
      <c r="B33" s="262"/>
      <c r="C33" s="262"/>
      <c r="D33" s="262"/>
      <c r="E33" s="262">
        <f>B33+C33+D33</f>
        <v>0</v>
      </c>
      <c r="F33" s="262"/>
      <c r="G33" s="262"/>
      <c r="H33" s="261"/>
      <c r="I33" s="261">
        <f>H33/1000</f>
        <v>0</v>
      </c>
      <c r="J33" s="262">
        <f aca="true" t="shared" si="36" ref="J33:K36">E33+H33</f>
        <v>0</v>
      </c>
      <c r="K33" s="262">
        <f>F33+I33</f>
        <v>0</v>
      </c>
      <c r="L33" s="261">
        <v>27350.38</v>
      </c>
      <c r="M33" s="262">
        <f>J33+L33</f>
        <v>27350.38</v>
      </c>
      <c r="N33" s="261">
        <f>L33/1000</f>
        <v>27.35038</v>
      </c>
      <c r="O33" s="262">
        <f>K33+N33</f>
        <v>27.35038</v>
      </c>
      <c r="P33" s="261">
        <v>100</v>
      </c>
      <c r="Q33" s="265">
        <f>M33+P33</f>
        <v>27450.38</v>
      </c>
      <c r="R33" s="261">
        <f>P33/1000</f>
        <v>0.1</v>
      </c>
      <c r="S33" s="262">
        <f>O33+R33</f>
        <v>27.450380000000003</v>
      </c>
      <c r="T33" s="261">
        <v>5737</v>
      </c>
      <c r="U33" s="262">
        <f>Q33+T33</f>
        <v>33187.380000000005</v>
      </c>
      <c r="V33" s="261">
        <f>T33/1000</f>
        <v>5.737</v>
      </c>
      <c r="W33" s="262">
        <f>S33+V33</f>
        <v>33.187380000000005</v>
      </c>
      <c r="X33" s="262">
        <v>12459.04</v>
      </c>
      <c r="Y33" s="262">
        <f>U33+X33</f>
        <v>45646.420000000006</v>
      </c>
      <c r="Z33" s="261">
        <f>X33/1000</f>
        <v>12.459040000000002</v>
      </c>
      <c r="AA33" s="262">
        <f>W33+Z33</f>
        <v>45.646420000000006</v>
      </c>
      <c r="AB33" s="261">
        <v>42970</v>
      </c>
      <c r="AC33" s="262">
        <f>Y33+AB33</f>
        <v>88616.42000000001</v>
      </c>
      <c r="AD33" s="261">
        <f>AB33/1000</f>
        <v>42.97</v>
      </c>
      <c r="AE33" s="262">
        <f>AA33+AD33</f>
        <v>88.61642</v>
      </c>
    </row>
    <row r="34" spans="1:31" ht="15">
      <c r="A34" s="283" t="s">
        <v>637</v>
      </c>
      <c r="B34" s="262"/>
      <c r="C34" s="262"/>
      <c r="D34" s="262"/>
      <c r="E34" s="262">
        <f>B34+C34+D34</f>
        <v>0</v>
      </c>
      <c r="F34" s="262"/>
      <c r="G34" s="262"/>
      <c r="H34" s="261"/>
      <c r="I34" s="261">
        <f>H34/1000</f>
        <v>0</v>
      </c>
      <c r="J34" s="262">
        <f t="shared" si="36"/>
        <v>0</v>
      </c>
      <c r="K34" s="262">
        <f t="shared" si="36"/>
        <v>0</v>
      </c>
      <c r="L34" s="261"/>
      <c r="M34" s="261"/>
      <c r="N34" s="261">
        <f>L34/1000</f>
        <v>0</v>
      </c>
      <c r="O34" s="262">
        <f>K34+N34</f>
        <v>0</v>
      </c>
      <c r="P34" s="261"/>
      <c r="Q34" s="265">
        <f>M34+P34</f>
        <v>0</v>
      </c>
      <c r="R34" s="261">
        <f>P34/1000</f>
        <v>0</v>
      </c>
      <c r="S34" s="262">
        <f>O34+R34</f>
        <v>0</v>
      </c>
      <c r="T34" s="261"/>
      <c r="U34" s="262">
        <f>Q34+T34</f>
        <v>0</v>
      </c>
      <c r="V34" s="261">
        <f>T34/1000</f>
        <v>0</v>
      </c>
      <c r="W34" s="262">
        <f>S34+V34</f>
        <v>0</v>
      </c>
      <c r="X34" s="262"/>
      <c r="Y34" s="262">
        <f>U34+X34</f>
        <v>0</v>
      </c>
      <c r="Z34" s="261">
        <f>X34/1000</f>
        <v>0</v>
      </c>
      <c r="AA34" s="262">
        <f>W34+Z34</f>
        <v>0</v>
      </c>
      <c r="AB34" s="261"/>
      <c r="AC34" s="262">
        <f>Y34+AB34</f>
        <v>0</v>
      </c>
      <c r="AD34" s="261"/>
      <c r="AE34" s="262">
        <f>AA34+AD34</f>
        <v>0</v>
      </c>
    </row>
    <row r="35" spans="1:31" ht="15">
      <c r="A35" s="283" t="s">
        <v>638</v>
      </c>
      <c r="B35" s="262">
        <v>1980323.4</v>
      </c>
      <c r="C35" s="262"/>
      <c r="D35" s="262"/>
      <c r="E35" s="262">
        <f>B35+C35+D35</f>
        <v>1980323.4</v>
      </c>
      <c r="F35" s="262">
        <f>2491989.8/1000</f>
        <v>2491.9898</v>
      </c>
      <c r="G35" s="262"/>
      <c r="H35" s="262"/>
      <c r="I35" s="261">
        <f>H35/1000</f>
        <v>0</v>
      </c>
      <c r="J35" s="262">
        <f t="shared" si="36"/>
        <v>1980323.4</v>
      </c>
      <c r="K35" s="262">
        <f t="shared" si="36"/>
        <v>2491.9898</v>
      </c>
      <c r="L35" s="261"/>
      <c r="M35" s="262">
        <f>J35+L35</f>
        <v>1980323.4</v>
      </c>
      <c r="N35" s="261">
        <f>L35/1000</f>
        <v>0</v>
      </c>
      <c r="O35" s="262">
        <f>K35+N35</f>
        <v>2491.9898</v>
      </c>
      <c r="P35" s="261"/>
      <c r="Q35" s="265">
        <f>M35+P35</f>
        <v>1980323.4</v>
      </c>
      <c r="R35" s="261">
        <f>P35/1000</f>
        <v>0</v>
      </c>
      <c r="S35" s="262">
        <f>O35+R35</f>
        <v>2491.9898</v>
      </c>
      <c r="T35" s="262"/>
      <c r="U35" s="262">
        <f>Q35+T35</f>
        <v>1980323.4</v>
      </c>
      <c r="V35" s="261">
        <f>T35/1000</f>
        <v>0</v>
      </c>
      <c r="W35" s="262">
        <f>S35+V35</f>
        <v>2491.9898</v>
      </c>
      <c r="X35" s="262"/>
      <c r="Y35" s="262">
        <f>U35+X35</f>
        <v>1980323.4</v>
      </c>
      <c r="Z35" s="261">
        <f>X35/1000</f>
        <v>0</v>
      </c>
      <c r="AA35" s="262">
        <f>W35+Z35</f>
        <v>2491.9898</v>
      </c>
      <c r="AB35" s="261"/>
      <c r="AC35" s="262">
        <f>Y35+AB35</f>
        <v>1980323.4</v>
      </c>
      <c r="AD35" s="261"/>
      <c r="AE35" s="262">
        <f>AA35+AD35</f>
        <v>2491.9898</v>
      </c>
    </row>
    <row r="36" spans="1:31" ht="15">
      <c r="A36" s="287" t="s">
        <v>639</v>
      </c>
      <c r="B36" s="262"/>
      <c r="C36" s="262"/>
      <c r="D36" s="262"/>
      <c r="E36" s="262">
        <f>B36+C36+D36</f>
        <v>0</v>
      </c>
      <c r="F36" s="262"/>
      <c r="G36" s="262"/>
      <c r="H36" s="262"/>
      <c r="I36" s="261">
        <f>H36/1000</f>
        <v>0</v>
      </c>
      <c r="J36" s="262">
        <f t="shared" si="36"/>
        <v>0</v>
      </c>
      <c r="K36" s="262">
        <f t="shared" si="36"/>
        <v>0</v>
      </c>
      <c r="L36" s="261"/>
      <c r="M36" s="261"/>
      <c r="N36" s="261">
        <f>L36/1000</f>
        <v>0</v>
      </c>
      <c r="O36" s="262">
        <f>K36+N36</f>
        <v>0</v>
      </c>
      <c r="P36" s="261"/>
      <c r="Q36" s="265">
        <f>M36+P36</f>
        <v>0</v>
      </c>
      <c r="R36" s="261">
        <f>P36/1000</f>
        <v>0</v>
      </c>
      <c r="S36" s="262">
        <f>O36+R36</f>
        <v>0</v>
      </c>
      <c r="T36" s="261"/>
      <c r="U36" s="262">
        <f>Q36+T36</f>
        <v>0</v>
      </c>
      <c r="V36" s="261">
        <f>T36/1000</f>
        <v>0</v>
      </c>
      <c r="W36" s="262">
        <f>S36+V36</f>
        <v>0</v>
      </c>
      <c r="X36" s="262"/>
      <c r="Y36" s="262">
        <f>U36+X36</f>
        <v>0</v>
      </c>
      <c r="Z36" s="261">
        <f>X36/1000</f>
        <v>0</v>
      </c>
      <c r="AA36" s="262">
        <f>W36+Z36</f>
        <v>0</v>
      </c>
      <c r="AB36" s="261"/>
      <c r="AC36" s="262">
        <f>Y36+AB36</f>
        <v>0</v>
      </c>
      <c r="AD36" s="261"/>
      <c r="AE36" s="262">
        <f>AA36+AD36</f>
        <v>0</v>
      </c>
    </row>
    <row r="37" spans="1:31" ht="16.5" thickBot="1">
      <c r="A37" s="285" t="s">
        <v>634</v>
      </c>
      <c r="B37" s="269">
        <f>SUM(B33:B36)</f>
        <v>1980323.4</v>
      </c>
      <c r="C37" s="269">
        <f>SUM(C33:C36)</f>
        <v>0</v>
      </c>
      <c r="D37" s="269">
        <f>SUM(D33:D36)</f>
        <v>0</v>
      </c>
      <c r="E37" s="269">
        <f>SUM(E33:E36)</f>
        <v>1980323.4</v>
      </c>
      <c r="F37" s="269">
        <f>SUM(F33:F36)</f>
        <v>2491.9898</v>
      </c>
      <c r="G37" s="269"/>
      <c r="H37" s="269">
        <f aca="true" t="shared" si="37" ref="H37:AD37">SUM(H33:H36)</f>
        <v>0</v>
      </c>
      <c r="I37" s="272">
        <f t="shared" si="37"/>
        <v>0</v>
      </c>
      <c r="J37" s="269">
        <f t="shared" si="37"/>
        <v>1980323.4</v>
      </c>
      <c r="K37" s="269">
        <f t="shared" si="37"/>
        <v>2491.9898</v>
      </c>
      <c r="L37" s="272">
        <f t="shared" si="37"/>
        <v>27350.38</v>
      </c>
      <c r="M37" s="269">
        <f t="shared" si="37"/>
        <v>2007673.7799999998</v>
      </c>
      <c r="N37" s="272">
        <f t="shared" si="37"/>
        <v>27.35038</v>
      </c>
      <c r="O37" s="269">
        <f t="shared" si="37"/>
        <v>2519.3401799999997</v>
      </c>
      <c r="P37" s="288">
        <f t="shared" si="37"/>
        <v>100</v>
      </c>
      <c r="Q37" s="271">
        <f t="shared" si="37"/>
        <v>2007773.7799999998</v>
      </c>
      <c r="R37" s="288">
        <f t="shared" si="37"/>
        <v>0.1</v>
      </c>
      <c r="S37" s="269">
        <f t="shared" si="37"/>
        <v>2519.44018</v>
      </c>
      <c r="T37" s="269">
        <f t="shared" si="37"/>
        <v>5737</v>
      </c>
      <c r="U37" s="269">
        <f t="shared" si="37"/>
        <v>2013510.7799999998</v>
      </c>
      <c r="V37" s="272">
        <f t="shared" si="37"/>
        <v>5.737</v>
      </c>
      <c r="W37" s="269">
        <f t="shared" si="37"/>
        <v>2525.1771799999997</v>
      </c>
      <c r="X37" s="269">
        <f t="shared" si="37"/>
        <v>12459.04</v>
      </c>
      <c r="Y37" s="269">
        <f t="shared" si="37"/>
        <v>2025969.8199999998</v>
      </c>
      <c r="Z37" s="272">
        <f t="shared" si="37"/>
        <v>12.459040000000002</v>
      </c>
      <c r="AA37" s="269">
        <f t="shared" si="37"/>
        <v>2537.63622</v>
      </c>
      <c r="AB37" s="272">
        <f t="shared" si="37"/>
        <v>42970</v>
      </c>
      <c r="AC37" s="269">
        <f t="shared" si="37"/>
        <v>2068939.8199999998</v>
      </c>
      <c r="AD37" s="272">
        <f t="shared" si="37"/>
        <v>42.97</v>
      </c>
      <c r="AE37" s="269">
        <f>SUM(AE33:AE36)</f>
        <v>2580.6062199999997</v>
      </c>
    </row>
    <row r="38" spans="1:31" ht="15">
      <c r="A38" s="260"/>
      <c r="B38" s="261"/>
      <c r="C38" s="261"/>
      <c r="D38" s="261"/>
      <c r="E38" s="261"/>
      <c r="F38" s="261"/>
      <c r="G38" s="262"/>
      <c r="H38" s="262"/>
      <c r="I38" s="261"/>
      <c r="J38" s="261"/>
      <c r="K38" s="261"/>
      <c r="L38" s="261"/>
      <c r="M38" s="261"/>
      <c r="N38" s="261"/>
      <c r="O38" s="261"/>
      <c r="P38" s="261"/>
      <c r="Q38" s="263"/>
      <c r="R38" s="261"/>
      <c r="S38" s="261"/>
      <c r="T38" s="261"/>
      <c r="U38" s="261"/>
      <c r="V38" s="261"/>
      <c r="W38" s="261"/>
      <c r="X38" s="262"/>
      <c r="Y38" s="261"/>
      <c r="Z38" s="261"/>
      <c r="AA38" s="261"/>
      <c r="AB38" s="261"/>
      <c r="AC38" s="261"/>
      <c r="AD38" s="261"/>
      <c r="AE38" s="261"/>
    </row>
    <row r="39" spans="1:31" ht="15.75">
      <c r="A39" s="286" t="s">
        <v>640</v>
      </c>
      <c r="B39" s="269"/>
      <c r="C39" s="269"/>
      <c r="D39" s="269"/>
      <c r="E39" s="269"/>
      <c r="F39" s="269"/>
      <c r="G39" s="269"/>
      <c r="H39" s="262"/>
      <c r="I39" s="261"/>
      <c r="J39" s="261"/>
      <c r="K39" s="261"/>
      <c r="L39" s="261"/>
      <c r="M39" s="261"/>
      <c r="N39" s="261"/>
      <c r="O39" s="261"/>
      <c r="P39" s="261"/>
      <c r="Q39" s="263"/>
      <c r="R39" s="261"/>
      <c r="S39" s="261"/>
      <c r="T39" s="269"/>
      <c r="U39" s="261"/>
      <c r="V39" s="261"/>
      <c r="W39" s="261"/>
      <c r="X39" s="262"/>
      <c r="Y39" s="261"/>
      <c r="Z39" s="261"/>
      <c r="AA39" s="261"/>
      <c r="AB39" s="261"/>
      <c r="AC39" s="261"/>
      <c r="AD39" s="261"/>
      <c r="AE39" s="261"/>
    </row>
    <row r="40" spans="1:31" ht="15.75">
      <c r="A40" s="286" t="s">
        <v>641</v>
      </c>
      <c r="B40" s="262">
        <f>B16+B30-B37</f>
        <v>225012290.38</v>
      </c>
      <c r="C40" s="262">
        <f>C16+C30-C37</f>
        <v>144468950.28999996</v>
      </c>
      <c r="D40" s="262">
        <f>D16+D30-D37</f>
        <v>143670064.16000006</v>
      </c>
      <c r="E40" s="262">
        <f>E16+E30-E37</f>
        <v>513151304.83000034</v>
      </c>
      <c r="F40" s="262">
        <f>F16+F30-F37</f>
        <v>680805.3084300003</v>
      </c>
      <c r="G40" s="262"/>
      <c r="H40" s="269">
        <f aca="true" t="shared" si="38" ref="H40:Y40">H16+H30-H37</f>
        <v>158957290.13000003</v>
      </c>
      <c r="I40" s="269">
        <f t="shared" si="38"/>
        <v>215070.13112999997</v>
      </c>
      <c r="J40" s="269">
        <f t="shared" si="38"/>
        <v>672108594.9600004</v>
      </c>
      <c r="K40" s="269">
        <f t="shared" si="38"/>
        <v>895875.4395600002</v>
      </c>
      <c r="L40" s="269">
        <f t="shared" si="38"/>
        <v>15820729.669999925</v>
      </c>
      <c r="M40" s="269">
        <f t="shared" si="38"/>
        <v>687929324.6300005</v>
      </c>
      <c r="N40" s="269">
        <f t="shared" si="38"/>
        <v>72209.52566999989</v>
      </c>
      <c r="O40" s="269">
        <f t="shared" si="38"/>
        <v>968084.9652300002</v>
      </c>
      <c r="P40" s="269">
        <f t="shared" si="38"/>
        <v>74345065.96999994</v>
      </c>
      <c r="Q40" s="271">
        <f t="shared" si="38"/>
        <v>762274390.6000007</v>
      </c>
      <c r="R40" s="269">
        <f t="shared" si="38"/>
        <v>131356.35097</v>
      </c>
      <c r="S40" s="269">
        <f t="shared" si="38"/>
        <v>1099441.3162000002</v>
      </c>
      <c r="T40" s="269">
        <f t="shared" si="38"/>
        <v>112248537.21000007</v>
      </c>
      <c r="U40" s="269">
        <f t="shared" si="38"/>
        <v>874522927.8100009</v>
      </c>
      <c r="V40" s="272">
        <f t="shared" si="38"/>
        <v>168509.31121000004</v>
      </c>
      <c r="W40" s="269">
        <f t="shared" si="38"/>
        <v>1267950.6274100002</v>
      </c>
      <c r="X40" s="269">
        <f t="shared" si="38"/>
        <v>-13296882.780000005</v>
      </c>
      <c r="Y40" s="269">
        <f t="shared" si="38"/>
        <v>861226045.0300012</v>
      </c>
      <c r="Z40" s="272">
        <f aca="true" t="shared" si="39" ref="Z40:AE40">Z16+Z30-Z37</f>
        <v>42965.60622000002</v>
      </c>
      <c r="AA40" s="269">
        <f t="shared" si="39"/>
        <v>1310916.2336300006</v>
      </c>
      <c r="AB40" s="269">
        <f t="shared" si="39"/>
        <v>113867926.79000008</v>
      </c>
      <c r="AC40" s="269">
        <f t="shared" si="39"/>
        <v>975093971.820001</v>
      </c>
      <c r="AD40" s="269">
        <f t="shared" si="39"/>
        <v>170127.79779000007</v>
      </c>
      <c r="AE40" s="269">
        <f t="shared" si="39"/>
        <v>1481044.0314200006</v>
      </c>
    </row>
    <row r="41" spans="1:31" ht="15.75">
      <c r="A41" s="289" t="s">
        <v>642</v>
      </c>
      <c r="B41" s="261"/>
      <c r="C41" s="261"/>
      <c r="D41" s="261"/>
      <c r="E41" s="261"/>
      <c r="F41" s="261"/>
      <c r="G41" s="262"/>
      <c r="H41" s="261"/>
      <c r="I41" s="261"/>
      <c r="J41" s="261"/>
      <c r="K41" s="261"/>
      <c r="L41" s="261"/>
      <c r="M41" s="261"/>
      <c r="N41" s="261"/>
      <c r="O41" s="262">
        <f>K41+N41</f>
        <v>0</v>
      </c>
      <c r="P41" s="262">
        <v>-23615104</v>
      </c>
      <c r="Q41" s="265">
        <f>M41+P41</f>
        <v>-23615104</v>
      </c>
      <c r="R41" s="261">
        <v>43818.45</v>
      </c>
      <c r="S41" s="262">
        <f>O41+R41</f>
        <v>43818.45</v>
      </c>
      <c r="T41" s="261"/>
      <c r="U41" s="262">
        <f>Q41+T41</f>
        <v>-23615104</v>
      </c>
      <c r="V41" s="261">
        <f>T41/1000</f>
        <v>0</v>
      </c>
      <c r="W41" s="262">
        <f>S41+V41</f>
        <v>43818.45</v>
      </c>
      <c r="X41" s="262">
        <v>0</v>
      </c>
      <c r="Y41" s="262">
        <f>U41+X41</f>
        <v>-23615104</v>
      </c>
      <c r="Z41" s="261">
        <v>0</v>
      </c>
      <c r="AA41" s="262">
        <f>W41+Z41</f>
        <v>43818.45</v>
      </c>
      <c r="AB41" s="261">
        <v>54162664</v>
      </c>
      <c r="AC41" s="262">
        <f>Y41+AB41</f>
        <v>30547560</v>
      </c>
      <c r="AD41" s="261">
        <v>87865.61</v>
      </c>
      <c r="AE41" s="262">
        <f>AA41+AD41</f>
        <v>131684.06</v>
      </c>
    </row>
    <row r="42" spans="1:31" ht="15">
      <c r="A42" s="290" t="s">
        <v>643</v>
      </c>
      <c r="B42" s="262"/>
      <c r="C42" s="262"/>
      <c r="D42" s="262">
        <v>34853500</v>
      </c>
      <c r="E42" s="262">
        <f>B42+C42+D42</f>
        <v>34853500</v>
      </c>
      <c r="F42" s="262">
        <f>E42/1000</f>
        <v>34853.5</v>
      </c>
      <c r="G42" s="262"/>
      <c r="H42" s="261"/>
      <c r="I42" s="261"/>
      <c r="J42" s="262">
        <f>E42+H42</f>
        <v>34853500</v>
      </c>
      <c r="K42" s="262">
        <f>F42+I42</f>
        <v>34853.5</v>
      </c>
      <c r="L42" s="261"/>
      <c r="M42" s="262">
        <f>J42+L42</f>
        <v>34853500</v>
      </c>
      <c r="N42" s="261"/>
      <c r="O42" s="262">
        <f>K42+N42</f>
        <v>34853.5</v>
      </c>
      <c r="P42" s="262">
        <v>34853500</v>
      </c>
      <c r="Q42" s="265">
        <f>M42+P42</f>
        <v>69707000</v>
      </c>
      <c r="R42" s="261">
        <v>34853.5</v>
      </c>
      <c r="S42" s="262">
        <f>O42+R42</f>
        <v>69707</v>
      </c>
      <c r="T42" s="261"/>
      <c r="U42" s="262">
        <f>Q42+T42</f>
        <v>69707000</v>
      </c>
      <c r="V42" s="261">
        <f>T42/1000</f>
        <v>0</v>
      </c>
      <c r="W42" s="262">
        <f>S42+V42</f>
        <v>69707</v>
      </c>
      <c r="X42" s="262">
        <v>0</v>
      </c>
      <c r="Y42" s="262">
        <f>U42+X42</f>
        <v>69707000</v>
      </c>
      <c r="Z42" s="261">
        <v>0</v>
      </c>
      <c r="AA42" s="262">
        <f>W42+Z42</f>
        <v>69707</v>
      </c>
      <c r="AB42" s="261">
        <v>34853500</v>
      </c>
      <c r="AC42" s="262">
        <f>Y42+AB42</f>
        <v>104560500</v>
      </c>
      <c r="AD42" s="261">
        <f>AB42/1000</f>
        <v>34853.5</v>
      </c>
      <c r="AE42" s="262">
        <f>AA42+AD42</f>
        <v>104560.5</v>
      </c>
    </row>
    <row r="43" spans="1:32" ht="15.75">
      <c r="A43" s="291" t="s">
        <v>644</v>
      </c>
      <c r="B43" s="262">
        <v>27623631</v>
      </c>
      <c r="C43" s="262">
        <v>27623631</v>
      </c>
      <c r="D43" s="262">
        <v>27623631</v>
      </c>
      <c r="E43" s="262">
        <f>B43+C43+D43</f>
        <v>82870893</v>
      </c>
      <c r="F43" s="262">
        <f>E43/1000</f>
        <v>82870.893</v>
      </c>
      <c r="G43" s="262"/>
      <c r="H43" s="262">
        <v>17554901</v>
      </c>
      <c r="I43" s="261">
        <f>H43/1000</f>
        <v>17554.901</v>
      </c>
      <c r="J43" s="262">
        <f>E43+H43</f>
        <v>100425794</v>
      </c>
      <c r="K43" s="262">
        <f>F43+I43</f>
        <v>100425.794</v>
      </c>
      <c r="L43" s="262">
        <v>24894949</v>
      </c>
      <c r="M43" s="262">
        <f>J43+L43</f>
        <v>125320743</v>
      </c>
      <c r="N43" s="261">
        <f>L43/1000</f>
        <v>24894.949</v>
      </c>
      <c r="O43" s="262">
        <f>K43+N43</f>
        <v>125320.74299999999</v>
      </c>
      <c r="P43" s="262">
        <f>24894949+5596281</f>
        <v>30491230</v>
      </c>
      <c r="Q43" s="265">
        <f>M43+P43</f>
        <v>155811973</v>
      </c>
      <c r="R43" s="262">
        <f>P43/1000</f>
        <v>30491.23</v>
      </c>
      <c r="S43" s="262">
        <f>O43+R43</f>
        <v>155811.973</v>
      </c>
      <c r="T43" s="262">
        <v>24894949</v>
      </c>
      <c r="U43" s="262">
        <f>Q43+T43</f>
        <v>180706922</v>
      </c>
      <c r="V43" s="261">
        <f>T43/1000</f>
        <v>24894.949</v>
      </c>
      <c r="W43" s="262">
        <f>S43+V43</f>
        <v>180706.922</v>
      </c>
      <c r="X43" s="262">
        <v>24894949</v>
      </c>
      <c r="Y43" s="262">
        <f>U43+X43</f>
        <v>205601871</v>
      </c>
      <c r="Z43" s="261">
        <f>X43/1000</f>
        <v>24894.949</v>
      </c>
      <c r="AA43" s="262">
        <f>W43+Z43</f>
        <v>205601.87099999998</v>
      </c>
      <c r="AB43" s="261">
        <v>-65333928</v>
      </c>
      <c r="AC43" s="262">
        <f>Y43+AB43</f>
        <v>140267943</v>
      </c>
      <c r="AD43" s="261">
        <f>AB43/1000</f>
        <v>-65333.928</v>
      </c>
      <c r="AE43" s="262">
        <f>AA43+AD43</f>
        <v>140267.94299999997</v>
      </c>
      <c r="AF43" s="51"/>
    </row>
    <row r="44" spans="2:31" ht="13.5" thickBot="1">
      <c r="B44" s="261"/>
      <c r="C44" s="261"/>
      <c r="D44" s="261"/>
      <c r="E44" s="261"/>
      <c r="F44" s="262"/>
      <c r="G44" s="262"/>
      <c r="H44" s="262"/>
      <c r="I44" s="261"/>
      <c r="J44" s="261"/>
      <c r="K44" s="261"/>
      <c r="L44" s="261"/>
      <c r="M44" s="261"/>
      <c r="N44" s="261"/>
      <c r="O44" s="261"/>
      <c r="P44" s="262"/>
      <c r="Q44" s="263"/>
      <c r="R44" s="262"/>
      <c r="S44" s="261"/>
      <c r="T44" s="261"/>
      <c r="U44" s="261"/>
      <c r="V44" s="261"/>
      <c r="W44" s="262">
        <f>S44+V44</f>
        <v>0</v>
      </c>
      <c r="X44" s="262"/>
      <c r="Y44" s="262">
        <f>U44+X44</f>
        <v>0</v>
      </c>
      <c r="Z44" s="261"/>
      <c r="AA44" s="262">
        <f>W44+Z44</f>
        <v>0</v>
      </c>
      <c r="AB44" s="261"/>
      <c r="AC44" s="262">
        <f>Y44+AB44</f>
        <v>0</v>
      </c>
      <c r="AD44" s="261">
        <f>AC44/1000</f>
        <v>0</v>
      </c>
      <c r="AE44" s="262">
        <f>AA44+AD44</f>
        <v>0</v>
      </c>
    </row>
    <row r="45" spans="1:31" ht="16.5" thickBot="1">
      <c r="A45" s="292" t="s">
        <v>645</v>
      </c>
      <c r="B45" s="261"/>
      <c r="C45" s="261"/>
      <c r="D45" s="261"/>
      <c r="E45" s="261"/>
      <c r="F45" s="262"/>
      <c r="G45" s="262"/>
      <c r="H45" s="262"/>
      <c r="I45" s="261"/>
      <c r="J45" s="261"/>
      <c r="K45" s="261"/>
      <c r="L45" s="261"/>
      <c r="M45" s="261"/>
      <c r="N45" s="261"/>
      <c r="O45" s="261"/>
      <c r="P45" s="261"/>
      <c r="Q45" s="263"/>
      <c r="R45" s="262"/>
      <c r="S45" s="261"/>
      <c r="T45" s="261"/>
      <c r="U45" s="261"/>
      <c r="V45" s="261"/>
      <c r="W45" s="261"/>
      <c r="X45" s="262"/>
      <c r="Y45" s="262">
        <f>U45+X45</f>
        <v>0</v>
      </c>
      <c r="Z45" s="261"/>
      <c r="AA45" s="262">
        <f>W45+Z45</f>
        <v>0</v>
      </c>
      <c r="AB45" s="261"/>
      <c r="AC45" s="262">
        <f>Y45+AB45</f>
        <v>0</v>
      </c>
      <c r="AD45" s="261">
        <f>AC45/1000</f>
        <v>0</v>
      </c>
      <c r="AE45" s="262">
        <f>AA45+AD45</f>
        <v>0</v>
      </c>
    </row>
    <row r="46" spans="1:31" ht="15.75">
      <c r="A46" s="293" t="s">
        <v>646</v>
      </c>
      <c r="B46" s="269">
        <f>B40-B43</f>
        <v>197388659.38</v>
      </c>
      <c r="C46" s="269">
        <f>C40-C43</f>
        <v>116845319.28999996</v>
      </c>
      <c r="D46" s="269">
        <f>D40-D42-D43-D44-D45</f>
        <v>81192933.16000006</v>
      </c>
      <c r="E46" s="269">
        <f>E40-E42-E43</f>
        <v>395426911.83000034</v>
      </c>
      <c r="F46" s="269">
        <f>F40-F42-F43</f>
        <v>563080.9154300003</v>
      </c>
      <c r="G46" s="269"/>
      <c r="H46" s="269">
        <f>H40-H43</f>
        <v>141402389.13000003</v>
      </c>
      <c r="I46" s="269">
        <f>I40-I43-I42</f>
        <v>197515.23012999995</v>
      </c>
      <c r="J46" s="269">
        <f>J40-J42-J43</f>
        <v>536829300.9600004</v>
      </c>
      <c r="K46" s="269">
        <f>K40-K43-K42</f>
        <v>760596.1455600002</v>
      </c>
      <c r="L46" s="269">
        <f>L40-L42-L43</f>
        <v>-9074219.330000075</v>
      </c>
      <c r="M46" s="269">
        <f>M40-M42-M43</f>
        <v>527755081.6300005</v>
      </c>
      <c r="N46" s="269">
        <f>N40-N42-N43</f>
        <v>47314.576669999886</v>
      </c>
      <c r="O46" s="269">
        <f aca="true" t="shared" si="40" ref="O46:U46">O40-O41-O42-O43</f>
        <v>807910.7222300002</v>
      </c>
      <c r="P46" s="269">
        <f t="shared" si="40"/>
        <v>32615439.96999994</v>
      </c>
      <c r="Q46" s="271">
        <f t="shared" si="40"/>
        <v>560370521.6000007</v>
      </c>
      <c r="R46" s="269">
        <f t="shared" si="40"/>
        <v>22193.170970000003</v>
      </c>
      <c r="S46" s="269">
        <f t="shared" si="40"/>
        <v>830103.8932000003</v>
      </c>
      <c r="T46" s="269">
        <f t="shared" si="40"/>
        <v>87353588.21000007</v>
      </c>
      <c r="U46" s="269">
        <f t="shared" si="40"/>
        <v>647724109.8100009</v>
      </c>
      <c r="V46" s="272">
        <f>V40-V43</f>
        <v>143614.36221000005</v>
      </c>
      <c r="W46" s="269">
        <f>W40-W41-W42-W43</f>
        <v>973718.2554100002</v>
      </c>
      <c r="X46" s="269">
        <f>X40-X41-X42-X43</f>
        <v>-38191831.78</v>
      </c>
      <c r="Y46" s="269">
        <f>Y40-Y41-Y42-Y43</f>
        <v>609532278.0300012</v>
      </c>
      <c r="Z46" s="272">
        <f>Z40-Z41-Z42-Z43-Z44-Z45</f>
        <v>18070.657220000023</v>
      </c>
      <c r="AA46" s="269">
        <f>AA40-AA41-AA42-AA43-AA44-AA45</f>
        <v>991788.9126300006</v>
      </c>
      <c r="AB46" s="269">
        <f>AB40-AB41-AB42-AB43</f>
        <v>90185690.79000008</v>
      </c>
      <c r="AC46" s="269">
        <f>AC40-AC41-AC42-AC43</f>
        <v>699717968.820001</v>
      </c>
      <c r="AD46" s="269">
        <f>AD40-AD41-AD42-AD43</f>
        <v>112742.61579000007</v>
      </c>
      <c r="AE46" s="269">
        <f>AE40-AE41-AE42-AE43-AE44-AE45</f>
        <v>1104531.5284200006</v>
      </c>
    </row>
    <row r="47" spans="1:31" ht="16.5" thickBot="1">
      <c r="A47" s="294" t="s">
        <v>647</v>
      </c>
      <c r="B47" s="261"/>
      <c r="C47" s="261"/>
      <c r="D47" s="261"/>
      <c r="E47" s="261"/>
      <c r="F47" s="262"/>
      <c r="G47" s="261"/>
      <c r="H47" s="261"/>
      <c r="I47" s="261"/>
      <c r="J47" s="261"/>
      <c r="K47" s="261"/>
      <c r="L47" s="261"/>
      <c r="M47" s="261"/>
      <c r="N47" s="261"/>
      <c r="O47" s="262">
        <f>K46+N46</f>
        <v>807910.7222300001</v>
      </c>
      <c r="P47" s="262">
        <v>34542824.97</v>
      </c>
      <c r="Q47" s="295">
        <v>560370521.6</v>
      </c>
      <c r="R47" s="261"/>
      <c r="S47" s="262">
        <f>O46+R46</f>
        <v>830103.8932000002</v>
      </c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</row>
    <row r="48" spans="1:31" ht="12.75">
      <c r="A48" s="296"/>
      <c r="H48" s="297">
        <v>141402389.13</v>
      </c>
      <c r="J48" s="262">
        <v>536829300.96</v>
      </c>
      <c r="K48" s="262">
        <f>F46+I46</f>
        <v>760596.1455600002</v>
      </c>
      <c r="L48" s="261"/>
      <c r="M48" s="262">
        <f>J46+L46</f>
        <v>527755081.6300003</v>
      </c>
      <c r="N48" s="262">
        <f>L46+1604169+103447682+21728-47792786-891997</f>
        <v>47314576.66999993</v>
      </c>
      <c r="O48" s="262"/>
      <c r="P48" s="262"/>
      <c r="Q48" s="298"/>
      <c r="R48" s="261"/>
      <c r="S48" s="262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</row>
    <row r="49" spans="8:19" ht="12.75">
      <c r="H49" s="51">
        <f>H48-H46</f>
        <v>0</v>
      </c>
      <c r="J49" s="51">
        <f>J46-J48</f>
        <v>0</v>
      </c>
      <c r="M49" s="51">
        <f>M46-M48</f>
        <v>0</v>
      </c>
      <c r="O49" s="51"/>
      <c r="P49" s="51"/>
      <c r="Q49" s="51"/>
      <c r="S49" s="51"/>
    </row>
    <row r="50" spans="2:21" ht="12.75">
      <c r="B50" s="51"/>
      <c r="C50" s="51"/>
      <c r="D50" s="51"/>
      <c r="H50" s="51"/>
      <c r="P50" s="51"/>
      <c r="Q50" s="51"/>
      <c r="S50" s="51"/>
      <c r="U50" s="51">
        <f>U41+U43</f>
        <v>157091818</v>
      </c>
    </row>
    <row r="51" spans="8:19" ht="12.75">
      <c r="H51" s="51"/>
      <c r="Q51" s="51"/>
      <c r="R51" s="51"/>
      <c r="S51" s="51"/>
    </row>
    <row r="52" spans="17:19" ht="12.75">
      <c r="Q52" s="51"/>
      <c r="S52" s="51"/>
    </row>
    <row r="53" spans="17:19" ht="12.75">
      <c r="Q53" s="51"/>
      <c r="S53" s="51"/>
    </row>
    <row r="54" ht="12.75">
      <c r="S54" s="51"/>
    </row>
    <row r="55" ht="12.75">
      <c r="P55" s="51"/>
    </row>
    <row r="57" ht="12.75">
      <c r="Q57" s="51"/>
    </row>
    <row r="63" ht="15">
      <c r="Y63" s="305"/>
    </row>
    <row r="64" ht="12.75">
      <c r="Y64" s="51"/>
    </row>
    <row r="65" ht="12.75">
      <c r="Y65" s="5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69"/>
  <sheetViews>
    <sheetView zoomScalePageLayoutView="0" workbookViewId="0" topLeftCell="A31">
      <selection activeCell="AL9" sqref="AL9"/>
    </sheetView>
  </sheetViews>
  <sheetFormatPr defaultColWidth="37.125" defaultRowHeight="12.75"/>
  <cols>
    <col min="1" max="1" width="40.625" style="0" customWidth="1"/>
    <col min="2" max="2" width="15.375" style="0" hidden="1" customWidth="1"/>
    <col min="3" max="3" width="15.75390625" style="0" hidden="1" customWidth="1"/>
    <col min="4" max="4" width="17.00390625" style="0" hidden="1" customWidth="1"/>
    <col min="5" max="6" width="19.375" style="0" hidden="1" customWidth="1"/>
    <col min="7" max="7" width="24.375" style="0" hidden="1" customWidth="1"/>
    <col min="8" max="8" width="23.375" style="0" hidden="1" customWidth="1"/>
    <col min="9" max="9" width="19.00390625" style="0" hidden="1" customWidth="1"/>
    <col min="10" max="10" width="18.875" style="0" hidden="1" customWidth="1"/>
    <col min="11" max="11" width="18.75390625" style="0" hidden="1" customWidth="1"/>
    <col min="12" max="12" width="24.75390625" style="0" hidden="1" customWidth="1"/>
    <col min="13" max="13" width="19.375" style="0" hidden="1" customWidth="1"/>
    <col min="14" max="14" width="25.75390625" style="0" hidden="1" customWidth="1"/>
    <col min="15" max="15" width="25.125" style="0" hidden="1" customWidth="1"/>
    <col min="16" max="16" width="25.25390625" style="0" hidden="1" customWidth="1"/>
    <col min="17" max="17" width="22.75390625" style="0" hidden="1" customWidth="1"/>
    <col min="18" max="18" width="22.375" style="0" hidden="1" customWidth="1"/>
    <col min="19" max="19" width="28.00390625" style="0" hidden="1" customWidth="1"/>
    <col min="20" max="20" width="38.625" style="0" hidden="1" customWidth="1"/>
    <col min="21" max="21" width="31.75390625" style="0" hidden="1" customWidth="1"/>
    <col min="22" max="22" width="27.625" style="0" hidden="1" customWidth="1"/>
    <col min="23" max="23" width="24.375" style="0" hidden="1" customWidth="1"/>
    <col min="24" max="24" width="26.875" style="0" hidden="1" customWidth="1"/>
    <col min="25" max="25" width="28.75390625" style="0" hidden="1" customWidth="1"/>
    <col min="26" max="26" width="19.25390625" style="0" hidden="1" customWidth="1"/>
    <col min="27" max="27" width="12.25390625" style="0" hidden="1" customWidth="1"/>
    <col min="28" max="28" width="17.00390625" style="0" hidden="1" customWidth="1"/>
    <col min="29" max="29" width="22.75390625" style="0" hidden="1" customWidth="1"/>
    <col min="30" max="30" width="23.00390625" style="0" hidden="1" customWidth="1"/>
    <col min="31" max="31" width="22.875" style="0" hidden="1" customWidth="1"/>
    <col min="32" max="32" width="16.125" style="0" hidden="1" customWidth="1"/>
    <col min="33" max="33" width="0.12890625" style="0" hidden="1" customWidth="1"/>
    <col min="34" max="35" width="19.375" style="0" hidden="1" customWidth="1"/>
    <col min="36" max="36" width="18.75390625" style="0" customWidth="1"/>
    <col min="37" max="37" width="20.625" style="0" customWidth="1"/>
    <col min="38" max="38" width="18.25390625" style="0" customWidth="1"/>
    <col min="39" max="39" width="17.875" style="0" customWidth="1"/>
  </cols>
  <sheetData>
    <row r="1" ht="35.25" customHeight="1" thickBot="1">
      <c r="A1" s="248" t="s">
        <v>596</v>
      </c>
    </row>
    <row r="2" spans="1:39" ht="68.25" customHeight="1" thickBot="1">
      <c r="A2" s="249"/>
      <c r="B2" s="250">
        <v>41640</v>
      </c>
      <c r="C2" s="251">
        <v>41671</v>
      </c>
      <c r="D2" s="251">
        <v>41699</v>
      </c>
      <c r="E2" s="252" t="s">
        <v>597</v>
      </c>
      <c r="F2" s="253" t="s">
        <v>598</v>
      </c>
      <c r="G2" s="254"/>
      <c r="H2" s="255" t="s">
        <v>599</v>
      </c>
      <c r="I2" s="255" t="s">
        <v>600</v>
      </c>
      <c r="J2" s="256" t="s">
        <v>601</v>
      </c>
      <c r="K2" s="253" t="s">
        <v>602</v>
      </c>
      <c r="L2" s="257" t="s">
        <v>603</v>
      </c>
      <c r="M2" s="253" t="s">
        <v>604</v>
      </c>
      <c r="N2" s="257" t="s">
        <v>605</v>
      </c>
      <c r="O2" s="253" t="s">
        <v>606</v>
      </c>
      <c r="P2" s="257" t="s">
        <v>607</v>
      </c>
      <c r="Q2" s="258" t="s">
        <v>604</v>
      </c>
      <c r="R2" s="257" t="s">
        <v>608</v>
      </c>
      <c r="S2" s="259" t="s">
        <v>609</v>
      </c>
      <c r="T2" s="257" t="s">
        <v>610</v>
      </c>
      <c r="U2" s="258" t="s">
        <v>604</v>
      </c>
      <c r="V2" s="257" t="s">
        <v>611</v>
      </c>
      <c r="W2" s="259" t="s">
        <v>652</v>
      </c>
      <c r="X2" s="257" t="s">
        <v>653</v>
      </c>
      <c r="Y2" s="258" t="s">
        <v>604</v>
      </c>
      <c r="Z2" s="257" t="s">
        <v>654</v>
      </c>
      <c r="AA2" s="259" t="s">
        <v>655</v>
      </c>
      <c r="AB2" s="257" t="s">
        <v>671</v>
      </c>
      <c r="AC2" s="258" t="s">
        <v>604</v>
      </c>
      <c r="AD2" s="257" t="s">
        <v>672</v>
      </c>
      <c r="AE2" s="253" t="s">
        <v>673</v>
      </c>
      <c r="AF2" s="257" t="s">
        <v>674</v>
      </c>
      <c r="AG2" s="258" t="s">
        <v>604</v>
      </c>
      <c r="AH2" s="257" t="s">
        <v>675</v>
      </c>
      <c r="AI2" s="253" t="s">
        <v>676</v>
      </c>
      <c r="AJ2" s="257" t="s">
        <v>677</v>
      </c>
      <c r="AK2" s="258" t="s">
        <v>678</v>
      </c>
      <c r="AL2" s="257" t="s">
        <v>679</v>
      </c>
      <c r="AM2" s="253" t="s">
        <v>680</v>
      </c>
    </row>
    <row r="3" spans="1:39" ht="23.25" customHeight="1">
      <c r="A3" s="260"/>
      <c r="B3" s="261"/>
      <c r="C3" s="261"/>
      <c r="D3" s="261"/>
      <c r="E3" s="261"/>
      <c r="F3" s="261"/>
      <c r="G3" s="261"/>
      <c r="H3" s="262"/>
      <c r="I3" s="261"/>
      <c r="J3" s="261"/>
      <c r="K3" s="261"/>
      <c r="L3" s="261"/>
      <c r="M3" s="261"/>
      <c r="N3" s="261"/>
      <c r="O3" s="261"/>
      <c r="P3" s="261"/>
      <c r="Q3" s="263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</row>
    <row r="4" spans="1:39" ht="23.25" customHeight="1">
      <c r="A4" s="264" t="s">
        <v>612</v>
      </c>
      <c r="B4" s="262">
        <v>807228061.65</v>
      </c>
      <c r="C4" s="262">
        <v>754472128.27</v>
      </c>
      <c r="D4" s="262">
        <v>757455877.82</v>
      </c>
      <c r="E4" s="262">
        <f>B4+C4+D4</f>
        <v>2319156067.7400002</v>
      </c>
      <c r="F4" s="262">
        <f>E4/1000</f>
        <v>2319156.0677400003</v>
      </c>
      <c r="G4" s="262"/>
      <c r="H4" s="262">
        <v>685213518.51</v>
      </c>
      <c r="I4" s="261">
        <f>H4/1000</f>
        <v>685213.51851</v>
      </c>
      <c r="J4" s="262">
        <f>E4+H4</f>
        <v>3004369586.25</v>
      </c>
      <c r="K4" s="262">
        <f>F4+I4</f>
        <v>3004369.58625</v>
      </c>
      <c r="L4" s="261">
        <v>650882508.55</v>
      </c>
      <c r="M4" s="262">
        <f>L4+J4</f>
        <v>3655252094.8</v>
      </c>
      <c r="N4" s="262">
        <f>L4/1000</f>
        <v>650882.5085499999</v>
      </c>
      <c r="O4" s="262">
        <f>K4+N4</f>
        <v>3655252.0948</v>
      </c>
      <c r="P4" s="262">
        <v>652869495.55</v>
      </c>
      <c r="Q4" s="265">
        <f>M4+P4</f>
        <v>4308121590.35</v>
      </c>
      <c r="R4" s="261">
        <f>P4/1000</f>
        <v>652869.49555</v>
      </c>
      <c r="S4" s="262">
        <f>(O4+R4)</f>
        <v>4308121.59035</v>
      </c>
      <c r="T4" s="262">
        <v>684790829.83</v>
      </c>
      <c r="U4" s="262">
        <f>Q4+T4</f>
        <v>4992912420.18</v>
      </c>
      <c r="V4" s="261">
        <f>T4/1000</f>
        <v>684790.8298300001</v>
      </c>
      <c r="W4" s="262">
        <f>S4+V4</f>
        <v>4992912.42018</v>
      </c>
      <c r="X4" s="262">
        <v>710108381.79</v>
      </c>
      <c r="Y4" s="262">
        <f>U4+X4</f>
        <v>5703020801.97</v>
      </c>
      <c r="Z4" s="261">
        <f>X4/1000</f>
        <v>710108.38179</v>
      </c>
      <c r="AA4" s="262">
        <f>W4+Z4</f>
        <v>5703020.80197</v>
      </c>
      <c r="AB4" s="262">
        <v>671340361.99</v>
      </c>
      <c r="AC4" s="262">
        <f>Y4+AB4</f>
        <v>6374361163.96</v>
      </c>
      <c r="AD4" s="261">
        <f>AB4/1000</f>
        <v>671340.36199</v>
      </c>
      <c r="AE4" s="262">
        <f>AA4+AD4</f>
        <v>6374361.1639600005</v>
      </c>
      <c r="AF4" s="262">
        <v>719392907.44</v>
      </c>
      <c r="AG4" s="262">
        <f>AC4+AF4</f>
        <v>7093754071.4</v>
      </c>
      <c r="AH4" s="261">
        <f>AF4/1000</f>
        <v>719392.9074400001</v>
      </c>
      <c r="AI4" s="262">
        <f>AE4+AH4</f>
        <v>7093754.071400001</v>
      </c>
      <c r="AJ4" s="262">
        <v>779705310.88</v>
      </c>
      <c r="AK4" s="262">
        <f>AG4+AJ4</f>
        <v>7873459382.28</v>
      </c>
      <c r="AL4" s="261">
        <f>AJ4/1000</f>
        <v>779705.31088</v>
      </c>
      <c r="AM4" s="262">
        <f>AI4+AL4</f>
        <v>7873459.3822800005</v>
      </c>
    </row>
    <row r="5" spans="1:39" ht="23.25" customHeight="1">
      <c r="A5" s="264" t="s">
        <v>613</v>
      </c>
      <c r="B5" s="266">
        <v>539319098.29</v>
      </c>
      <c r="C5" s="266">
        <v>512398627.04</v>
      </c>
      <c r="D5" s="267">
        <v>503499849.45</v>
      </c>
      <c r="E5" s="262">
        <f>B5+C5+D5</f>
        <v>1555217574.78</v>
      </c>
      <c r="F5" s="262">
        <f>(E5-310541007+144563978)/1000</f>
        <v>1389240.54578</v>
      </c>
      <c r="G5" s="262"/>
      <c r="H5" s="266">
        <f>477022282.65+697790</f>
        <v>477720072.65</v>
      </c>
      <c r="I5" s="262">
        <f>(H5-103449986+48066692)/1000</f>
        <v>422336.77865</v>
      </c>
      <c r="J5" s="262">
        <f>E5+H5</f>
        <v>2032937647.4299998</v>
      </c>
      <c r="K5" s="262">
        <f>F5+I5</f>
        <v>1811577.32443</v>
      </c>
      <c r="L5" s="261">
        <f>526811376.35+21728</f>
        <v>526833104.35</v>
      </c>
      <c r="M5" s="262">
        <f>L5+J5</f>
        <v>2559770751.7799997</v>
      </c>
      <c r="N5" s="262">
        <f>(L5-103447682-21728+47792786)/1000</f>
        <v>471156.48035</v>
      </c>
      <c r="O5" s="262">
        <f>K5+N5</f>
        <v>2282733.80478</v>
      </c>
      <c r="P5" s="262">
        <f>525643688.93+1904985+9900</f>
        <v>527558573.93</v>
      </c>
      <c r="Q5" s="265">
        <f>M5+P5</f>
        <v>3087329325.7099996</v>
      </c>
      <c r="R5" s="261">
        <f>(P5-103812293-9900-1904985+49418165+9900)/1000</f>
        <v>471259.46093</v>
      </c>
      <c r="S5" s="262">
        <f>O5+R5</f>
        <v>2753993.26571</v>
      </c>
      <c r="T5" s="262">
        <v>516988967.83</v>
      </c>
      <c r="U5" s="262">
        <f>Q5+T5</f>
        <v>3604318293.5399995</v>
      </c>
      <c r="V5" s="261">
        <f>(T5-103974095)/1000+48408.064</f>
        <v>461422.93683</v>
      </c>
      <c r="W5" s="262">
        <f>S5+V5</f>
        <v>3215416.20254</v>
      </c>
      <c r="X5" s="262">
        <f>547406733.78+19898.52+495346</f>
        <v>547921978.3</v>
      </c>
      <c r="Y5" s="262">
        <f>U5+X5</f>
        <v>4152240271.839999</v>
      </c>
      <c r="Z5" s="261">
        <f>(X5-103950029+48417087)/1000</f>
        <v>492389.0363</v>
      </c>
      <c r="AA5" s="262">
        <f>W5+Z5</f>
        <v>3707805.23884</v>
      </c>
      <c r="AB5" s="262">
        <f>198806240.01+7697720.79+327664502.15</f>
        <v>534168462.9499999</v>
      </c>
      <c r="AC5" s="262">
        <f>Y5+AB5</f>
        <v>4686408734.789999</v>
      </c>
      <c r="AD5" s="261">
        <f>(AB5-103947991+48417087)/1000</f>
        <v>478637.5589499999</v>
      </c>
      <c r="AE5" s="262">
        <f>AA5+AD5</f>
        <v>4186442.7977899997</v>
      </c>
      <c r="AF5" s="262">
        <v>381130900.22</v>
      </c>
      <c r="AG5" s="262">
        <f>AC5+AF5</f>
        <v>5067539635.009999</v>
      </c>
      <c r="AH5" s="261">
        <f>(AF5-103959438+48428723)/1000</f>
        <v>325600.18522000004</v>
      </c>
      <c r="AI5" s="262">
        <f>AE5+AH5</f>
        <v>4512042.98301</v>
      </c>
      <c r="AJ5" s="262">
        <f>495464957.4-85247.29+87639.29+12989.22</f>
        <v>495480338.62</v>
      </c>
      <c r="AK5" s="262">
        <f>AG5+AJ5</f>
        <v>5563019973.629999</v>
      </c>
      <c r="AL5" s="261">
        <f>(AJ5-103949499+48428723)/1000</f>
        <v>439959.56262</v>
      </c>
      <c r="AM5" s="262">
        <f>AI5+AL5</f>
        <v>4952002.54563</v>
      </c>
    </row>
    <row r="6" spans="1:40" ht="23.25" customHeight="1" thickBot="1">
      <c r="A6" s="268" t="s">
        <v>614</v>
      </c>
      <c r="B6" s="269">
        <f>B4-B5</f>
        <v>267908963.36</v>
      </c>
      <c r="C6" s="269">
        <f>C4-C5</f>
        <v>242073501.22999996</v>
      </c>
      <c r="D6" s="269">
        <f>D4-D5</f>
        <v>253956028.37000006</v>
      </c>
      <c r="E6" s="269">
        <f>E4-E5</f>
        <v>763938492.9600003</v>
      </c>
      <c r="F6" s="269">
        <f>F4-F5</f>
        <v>929915.5219600003</v>
      </c>
      <c r="G6" s="269"/>
      <c r="H6" s="269">
        <f>H4-H5</f>
        <v>207493445.86</v>
      </c>
      <c r="I6" s="269">
        <f>I4-I5</f>
        <v>262876.73986</v>
      </c>
      <c r="J6" s="262">
        <f>E6+H6</f>
        <v>971431938.8200003</v>
      </c>
      <c r="K6" s="269">
        <f aca="true" t="shared" si="0" ref="K6:AF6">K4-K5</f>
        <v>1192792.2618200001</v>
      </c>
      <c r="L6" s="269">
        <f t="shared" si="0"/>
        <v>124049404.19999993</v>
      </c>
      <c r="M6" s="269">
        <f t="shared" si="0"/>
        <v>1095481343.0200005</v>
      </c>
      <c r="N6" s="269">
        <f t="shared" si="0"/>
        <v>179726.02819999988</v>
      </c>
      <c r="O6" s="269">
        <f t="shared" si="0"/>
        <v>1372518.2900200002</v>
      </c>
      <c r="P6" s="270">
        <f t="shared" si="0"/>
        <v>125310921.61999995</v>
      </c>
      <c r="Q6" s="271">
        <f t="shared" si="0"/>
        <v>1220792264.6400008</v>
      </c>
      <c r="R6" s="270">
        <f t="shared" si="0"/>
        <v>181610.03462</v>
      </c>
      <c r="S6" s="269">
        <f t="shared" si="0"/>
        <v>1554128.3246400002</v>
      </c>
      <c r="T6" s="269">
        <f t="shared" si="0"/>
        <v>167801862.00000006</v>
      </c>
      <c r="U6" s="269">
        <f t="shared" si="0"/>
        <v>1388594126.6400008</v>
      </c>
      <c r="V6" s="272">
        <f t="shared" si="0"/>
        <v>223367.89300000004</v>
      </c>
      <c r="W6" s="269">
        <f t="shared" si="0"/>
        <v>1777496.2176400004</v>
      </c>
      <c r="X6" s="269">
        <f t="shared" si="0"/>
        <v>162186403.49</v>
      </c>
      <c r="Y6" s="269">
        <f t="shared" si="0"/>
        <v>1550780530.130001</v>
      </c>
      <c r="Z6" s="272">
        <f t="shared" si="0"/>
        <v>217719.34549000004</v>
      </c>
      <c r="AA6" s="269">
        <f t="shared" si="0"/>
        <v>1995215.5631300006</v>
      </c>
      <c r="AB6" s="270">
        <f t="shared" si="0"/>
        <v>137171899.04000008</v>
      </c>
      <c r="AC6" s="270">
        <f t="shared" si="0"/>
        <v>1687952429.170001</v>
      </c>
      <c r="AD6" s="272">
        <f t="shared" si="0"/>
        <v>192702.8030400001</v>
      </c>
      <c r="AE6" s="269">
        <f>AA6+AD6</f>
        <v>2187918.3661700008</v>
      </c>
      <c r="AF6" s="269">
        <f t="shared" si="0"/>
        <v>338262007.22</v>
      </c>
      <c r="AG6" s="269">
        <f>AC6+AF6</f>
        <v>2026214436.390001</v>
      </c>
      <c r="AH6" s="272">
        <f>AH4-AH5</f>
        <v>393792.72222000005</v>
      </c>
      <c r="AI6" s="269">
        <f>AE6+AH6</f>
        <v>2581711.0883900006</v>
      </c>
      <c r="AJ6" s="269">
        <f>AJ4-AJ5</f>
        <v>284224972.26</v>
      </c>
      <c r="AK6" s="269">
        <f>AG6+AJ6</f>
        <v>2310439408.650001</v>
      </c>
      <c r="AL6" s="272">
        <f>AL4-AL5</f>
        <v>339745.74826</v>
      </c>
      <c r="AM6" s="269">
        <f>AI6+AL6</f>
        <v>2921456.836650001</v>
      </c>
      <c r="AN6" s="51"/>
    </row>
    <row r="7" spans="1:39" ht="23.25" customHeight="1" thickBot="1">
      <c r="A7" s="273"/>
      <c r="B7" s="261"/>
      <c r="C7" s="261"/>
      <c r="D7" s="261"/>
      <c r="E7" s="261"/>
      <c r="F7" s="261"/>
      <c r="G7" s="262"/>
      <c r="H7" s="261"/>
      <c r="I7" s="261"/>
      <c r="J7" s="261"/>
      <c r="K7" s="261"/>
      <c r="L7" s="261"/>
      <c r="M7" s="261"/>
      <c r="N7" s="261"/>
      <c r="O7" s="261"/>
      <c r="P7" s="262"/>
      <c r="Q7" s="263"/>
      <c r="R7" s="261"/>
      <c r="S7" s="261"/>
      <c r="T7" s="261"/>
      <c r="U7" s="262"/>
      <c r="V7" s="261"/>
      <c r="W7" s="261"/>
      <c r="X7" s="262"/>
      <c r="Y7" s="262"/>
      <c r="Z7" s="261"/>
      <c r="AA7" s="261"/>
      <c r="AB7" s="261"/>
      <c r="AC7" s="261"/>
      <c r="AD7" s="261"/>
      <c r="AE7" s="261"/>
      <c r="AF7" s="262"/>
      <c r="AG7" s="261"/>
      <c r="AH7" s="261"/>
      <c r="AI7" s="261"/>
      <c r="AJ7" s="262"/>
      <c r="AK7" s="261"/>
      <c r="AL7" s="261"/>
      <c r="AM7" s="261"/>
    </row>
    <row r="8" spans="1:39" ht="23.25" customHeight="1">
      <c r="A8" s="274" t="s">
        <v>615</v>
      </c>
      <c r="B8" s="269">
        <f>SUM(B9:B16)</f>
        <v>43460704.03</v>
      </c>
      <c r="C8" s="269">
        <f>SUM(C9:C12)</f>
        <v>119931703.15</v>
      </c>
      <c r="D8" s="269">
        <f>SUM(D9:D16)</f>
        <v>169659205.47</v>
      </c>
      <c r="E8" s="269">
        <f>SUM(E9:E16)</f>
        <v>333051612.65</v>
      </c>
      <c r="F8" s="269">
        <f>SUM(F9:F12)</f>
        <v>296009.47165</v>
      </c>
      <c r="G8" s="269"/>
      <c r="H8" s="269">
        <f>SUM(H9:H12)</f>
        <v>52816597.79</v>
      </c>
      <c r="I8" s="269">
        <f>SUM(I9:I12)</f>
        <v>52087.050789999994</v>
      </c>
      <c r="J8" s="269">
        <f aca="true" t="shared" si="1" ref="J8:O8">SUM(J9:J16)</f>
        <v>385868210.44</v>
      </c>
      <c r="K8" s="269">
        <f t="shared" si="1"/>
        <v>382950.02244000003</v>
      </c>
      <c r="L8" s="269">
        <f t="shared" si="1"/>
        <v>112392078.31</v>
      </c>
      <c r="M8" s="269">
        <f t="shared" si="1"/>
        <v>498260288.75</v>
      </c>
      <c r="N8" s="272">
        <f t="shared" si="1"/>
        <v>111679.90630999999</v>
      </c>
      <c r="O8" s="269">
        <f t="shared" si="1"/>
        <v>494629.92875</v>
      </c>
      <c r="P8" s="270">
        <f>SUM(P9:P16)</f>
        <v>108101437.42</v>
      </c>
      <c r="Q8" s="271">
        <f>SUM(Q9:Q16)</f>
        <v>606361726.1700001</v>
      </c>
      <c r="R8" s="270">
        <f>SUM(R9:R16)</f>
        <v>107389.26542</v>
      </c>
      <c r="S8" s="269">
        <f>SUM(S9:S14)</f>
        <v>602019.19417</v>
      </c>
      <c r="T8" s="270">
        <f>SUM(T9:T16)</f>
        <v>60920236.00000001</v>
      </c>
      <c r="U8" s="269">
        <f>SUM(U9:U16)</f>
        <v>667281962.17</v>
      </c>
      <c r="V8" s="272">
        <f>SUM(V9:V16)</f>
        <v>60225.49300000001</v>
      </c>
      <c r="W8" s="269">
        <f>SUM(W9:W16)</f>
        <v>662244.68717</v>
      </c>
      <c r="X8" s="269">
        <f>SUM(X9:X16)</f>
        <v>182788372.86</v>
      </c>
      <c r="Y8" s="269">
        <f>SUM(Y9:Y15)</f>
        <v>850070335.0299999</v>
      </c>
      <c r="Z8" s="272">
        <f aca="true" t="shared" si="2" ref="Z8:AM8">SUM(Z9:Z16)</f>
        <v>182058.82586</v>
      </c>
      <c r="AA8" s="269">
        <f t="shared" si="2"/>
        <v>844303.5130299999</v>
      </c>
      <c r="AB8" s="270">
        <f t="shared" si="2"/>
        <v>79457519.04</v>
      </c>
      <c r="AC8" s="270">
        <f t="shared" si="2"/>
        <v>929527854.0699999</v>
      </c>
      <c r="AD8" s="270">
        <f t="shared" si="2"/>
        <v>78728.55204000001</v>
      </c>
      <c r="AE8" s="270">
        <f t="shared" si="2"/>
        <v>923032.06507</v>
      </c>
      <c r="AF8" s="269">
        <f t="shared" si="2"/>
        <v>45650554.41</v>
      </c>
      <c r="AG8" s="269">
        <f t="shared" si="2"/>
        <v>975178408.4799999</v>
      </c>
      <c r="AH8" s="272">
        <f t="shared" si="2"/>
        <v>44921.985409999994</v>
      </c>
      <c r="AI8" s="269">
        <f t="shared" si="2"/>
        <v>967954.0504799999</v>
      </c>
      <c r="AJ8" s="269">
        <f t="shared" si="2"/>
        <v>128583562.14999999</v>
      </c>
      <c r="AK8" s="269">
        <f t="shared" si="2"/>
        <v>1103761970.6299999</v>
      </c>
      <c r="AL8" s="272">
        <f t="shared" si="2"/>
        <v>127857.26315</v>
      </c>
      <c r="AM8" s="269">
        <f t="shared" si="2"/>
        <v>1095811.31363</v>
      </c>
    </row>
    <row r="9" spans="1:39" ht="23.25" customHeight="1">
      <c r="A9" s="264" t="s">
        <v>616</v>
      </c>
      <c r="B9" s="262">
        <v>24463693.43</v>
      </c>
      <c r="C9" s="262">
        <v>101837510.63</v>
      </c>
      <c r="D9" s="262">
        <v>42854929.38</v>
      </c>
      <c r="E9" s="262">
        <f>B9+C9+D9</f>
        <v>169156133.44</v>
      </c>
      <c r="F9" s="262">
        <f>(E9-4886653+2698012)/1000</f>
        <v>166967.49244</v>
      </c>
      <c r="G9" s="262"/>
      <c r="H9" s="275">
        <f>32455622.88-36540-164.71</f>
        <v>32418918.169999998</v>
      </c>
      <c r="I9" s="275">
        <f>(H9-1623533+893986)/1000</f>
        <v>31689.37117</v>
      </c>
      <c r="J9" s="262">
        <f aca="true" t="shared" si="3" ref="J9:K13">E9+H9</f>
        <v>201575051.60999998</v>
      </c>
      <c r="K9" s="262">
        <f t="shared" si="3"/>
        <v>198656.86361</v>
      </c>
      <c r="L9" s="262">
        <v>106630088.02</v>
      </c>
      <c r="M9" s="262">
        <f>J9+L9</f>
        <v>308205139.63</v>
      </c>
      <c r="N9" s="261">
        <f>(L9-1604169+891997)/1000</f>
        <v>105917.91601999999</v>
      </c>
      <c r="O9" s="262">
        <f aca="true" t="shared" si="4" ref="O9:O16">K9+N9</f>
        <v>304574.77963</v>
      </c>
      <c r="P9" s="262">
        <f>53061584.57+12500</f>
        <v>53074084.57</v>
      </c>
      <c r="Q9" s="265">
        <f aca="true" t="shared" si="5" ref="Q9:Q16">M9+P9</f>
        <v>361279224.2</v>
      </c>
      <c r="R9" s="261">
        <f>(P9-1604028-12500+891856+12500)/1000</f>
        <v>52361.91257</v>
      </c>
      <c r="S9" s="262">
        <f aca="true" t="shared" si="6" ref="S9:S14">O9+R9</f>
        <v>356936.6922</v>
      </c>
      <c r="T9" s="261">
        <f>40260257.2+633782.31</f>
        <v>40894039.510000005</v>
      </c>
      <c r="U9" s="262">
        <f aca="true" t="shared" si="7" ref="U9:U16">Q9+T9</f>
        <v>402173263.71</v>
      </c>
      <c r="V9" s="261">
        <f>(T9-1603974)/1000+909.231</f>
        <v>40199.29651000001</v>
      </c>
      <c r="W9" s="262">
        <f aca="true" t="shared" si="8" ref="W9:W16">S9+V9</f>
        <v>397135.98871</v>
      </c>
      <c r="X9" s="262">
        <f>163640452.37-495346</f>
        <v>163145106.37</v>
      </c>
      <c r="Y9" s="262">
        <f aca="true" t="shared" si="9" ref="Y9:Y16">U9+X9</f>
        <v>565318370.0799999</v>
      </c>
      <c r="Z9" s="261">
        <f>(X9-1603974+874427)/1000</f>
        <v>162415.55937</v>
      </c>
      <c r="AA9" s="262">
        <f>W9+Z9</f>
        <v>559551.54808</v>
      </c>
      <c r="AB9" s="261">
        <f>25781992.92+102096.98+67974.18</f>
        <v>25952064.080000002</v>
      </c>
      <c r="AC9" s="262">
        <f aca="true" t="shared" si="10" ref="AC9:AC15">Y9+AB9</f>
        <v>591270434.16</v>
      </c>
      <c r="AD9" s="261">
        <f>(AB9-1603394+874427)/1000</f>
        <v>25223.097080000003</v>
      </c>
      <c r="AE9" s="262">
        <f aca="true" t="shared" si="11" ref="AE9:AE16">AA9+AD9</f>
        <v>584774.64516</v>
      </c>
      <c r="AF9" s="262">
        <v>29828845.06</v>
      </c>
      <c r="AG9" s="262">
        <f>AC9+AF9</f>
        <v>621099279.2199999</v>
      </c>
      <c r="AH9" s="261">
        <f>(AF9-1590498+861929)/1000</f>
        <v>29100.27606</v>
      </c>
      <c r="AI9" s="262">
        <f aca="true" t="shared" si="12" ref="AI9:AI16">AE9+AH9</f>
        <v>613874.9212199999</v>
      </c>
      <c r="AJ9" s="262">
        <f>111747245.31+85247.29-87639.29+240000</f>
        <v>111984853.31</v>
      </c>
      <c r="AK9" s="262">
        <f>AG9+AJ9</f>
        <v>733084132.53</v>
      </c>
      <c r="AL9" s="261">
        <f>(AJ9-1588648+862349)/1000</f>
        <v>111258.55431</v>
      </c>
      <c r="AM9" s="262">
        <f aca="true" t="shared" si="13" ref="AM9:AM16">AI9+AL9</f>
        <v>725133.4755299999</v>
      </c>
    </row>
    <row r="10" spans="1:39" ht="32.25" customHeight="1">
      <c r="A10" s="264" t="s">
        <v>617</v>
      </c>
      <c r="B10" s="262">
        <v>235007</v>
      </c>
      <c r="C10" s="262">
        <v>355680.2</v>
      </c>
      <c r="D10" s="262">
        <v>55293461.4</v>
      </c>
      <c r="E10" s="51">
        <f>B10+C10+D10</f>
        <v>55884148.6</v>
      </c>
      <c r="F10" s="262">
        <f>E10/1000</f>
        <v>55884.1486</v>
      </c>
      <c r="G10" s="262"/>
      <c r="H10" s="262">
        <v>356509</v>
      </c>
      <c r="I10" s="261">
        <f>H10/1000</f>
        <v>356.509</v>
      </c>
      <c r="J10" s="262">
        <f t="shared" si="3"/>
        <v>56240657.6</v>
      </c>
      <c r="K10" s="262">
        <f t="shared" si="3"/>
        <v>56240.6576</v>
      </c>
      <c r="L10" s="261">
        <v>219286.2</v>
      </c>
      <c r="M10" s="262">
        <f>J10+L10</f>
        <v>56459943.800000004</v>
      </c>
      <c r="N10" s="261">
        <f>L10/1000</f>
        <v>219.2862</v>
      </c>
      <c r="O10" s="262">
        <f t="shared" si="4"/>
        <v>56459.9438</v>
      </c>
      <c r="P10" s="262">
        <v>219163</v>
      </c>
      <c r="Q10" s="265">
        <f t="shared" si="5"/>
        <v>56679106.800000004</v>
      </c>
      <c r="R10" s="261">
        <f>P10/1000</f>
        <v>219.163</v>
      </c>
      <c r="S10" s="262">
        <f t="shared" si="6"/>
        <v>56679.1068</v>
      </c>
      <c r="T10" s="262">
        <v>256802.2</v>
      </c>
      <c r="U10" s="262">
        <f t="shared" si="7"/>
        <v>56935909.00000001</v>
      </c>
      <c r="V10" s="261">
        <f>T10/1000</f>
        <v>256.8022</v>
      </c>
      <c r="W10" s="262">
        <f t="shared" si="8"/>
        <v>56935.909</v>
      </c>
      <c r="X10" s="262">
        <v>201359.8</v>
      </c>
      <c r="Y10" s="262">
        <f t="shared" si="9"/>
        <v>57137268.800000004</v>
      </c>
      <c r="Z10" s="261">
        <f>X10/1000</f>
        <v>201.35979999999998</v>
      </c>
      <c r="AA10" s="262">
        <f>W10+Z10</f>
        <v>57137.2688</v>
      </c>
      <c r="AB10" s="261">
        <v>367187.66</v>
      </c>
      <c r="AC10" s="262">
        <f t="shared" si="10"/>
        <v>57504456.46</v>
      </c>
      <c r="AD10" s="261">
        <f>AB10/1000</f>
        <v>367.18766</v>
      </c>
      <c r="AE10" s="262">
        <f t="shared" si="11"/>
        <v>57504.45646</v>
      </c>
      <c r="AF10" s="262">
        <v>278132.6</v>
      </c>
      <c r="AG10" s="262">
        <f>AC10+AF10</f>
        <v>57782589.06</v>
      </c>
      <c r="AH10" s="261">
        <f aca="true" t="shared" si="14" ref="AH10:AH15">AF10/1000</f>
        <v>278.13259999999997</v>
      </c>
      <c r="AI10" s="262">
        <f t="shared" si="12"/>
        <v>57782.58906</v>
      </c>
      <c r="AJ10" s="262">
        <v>378051.1</v>
      </c>
      <c r="AK10" s="262">
        <f>AG10+AJ10</f>
        <v>58160640.160000004</v>
      </c>
      <c r="AL10" s="261">
        <f aca="true" t="shared" si="15" ref="AL10:AL15">AJ10/1000</f>
        <v>378.05109999999996</v>
      </c>
      <c r="AM10" s="262">
        <f>AI10+AL10</f>
        <v>58160.640159999995</v>
      </c>
    </row>
    <row r="11" spans="1:39" ht="23.25" customHeight="1">
      <c r="A11" s="264" t="s">
        <v>175</v>
      </c>
      <c r="B11" s="276">
        <v>6338115.6</v>
      </c>
      <c r="C11" s="276">
        <v>6881030.32</v>
      </c>
      <c r="D11" s="276">
        <v>9324944.14</v>
      </c>
      <c r="E11" s="276">
        <f>B11+C11+D11</f>
        <v>22544090.060000002</v>
      </c>
      <c r="F11" s="276">
        <f>E11/1000</f>
        <v>22544.090060000002</v>
      </c>
      <c r="G11" s="276"/>
      <c r="H11" s="276">
        <v>7601530.62</v>
      </c>
      <c r="I11" s="276">
        <f>H11/1000</f>
        <v>7601.53062</v>
      </c>
      <c r="J11" s="276">
        <f t="shared" si="3"/>
        <v>30145620.680000003</v>
      </c>
      <c r="K11" s="276">
        <f t="shared" si="3"/>
        <v>30145.620680000004</v>
      </c>
      <c r="L11" s="261">
        <v>7140747.09</v>
      </c>
      <c r="M11" s="262">
        <f aca="true" t="shared" si="16" ref="M11:M16">J11+L11</f>
        <v>37286367.77</v>
      </c>
      <c r="N11" s="261">
        <f aca="true" t="shared" si="17" ref="N11:N16">L11/1000</f>
        <v>7140.74709</v>
      </c>
      <c r="O11" s="262">
        <f t="shared" si="4"/>
        <v>37286.367770000004</v>
      </c>
      <c r="P11" s="262">
        <v>6533855.85</v>
      </c>
      <c r="Q11" s="265">
        <f t="shared" si="5"/>
        <v>43820223.620000005</v>
      </c>
      <c r="R11" s="261">
        <f aca="true" t="shared" si="18" ref="R11:R16">P11/1000</f>
        <v>6533.85585</v>
      </c>
      <c r="S11" s="262">
        <f t="shared" si="6"/>
        <v>43820.223620000004</v>
      </c>
      <c r="T11" s="261">
        <v>7935602.29</v>
      </c>
      <c r="U11" s="262">
        <f t="shared" si="7"/>
        <v>51755825.910000004</v>
      </c>
      <c r="V11" s="261">
        <f aca="true" t="shared" si="19" ref="V11:V16">T11/1000</f>
        <v>7935.60229</v>
      </c>
      <c r="W11" s="262">
        <f t="shared" si="8"/>
        <v>51755.82591000001</v>
      </c>
      <c r="X11" s="262">
        <v>7603386.69</v>
      </c>
      <c r="Y11" s="262">
        <f t="shared" si="9"/>
        <v>59359212.6</v>
      </c>
      <c r="Z11" s="261">
        <f aca="true" t="shared" si="20" ref="Z11:Z16">X11/1000</f>
        <v>7603.38669</v>
      </c>
      <c r="AA11" s="262">
        <f aca="true" t="shared" si="21" ref="AA11:AA16">W11+Z11</f>
        <v>59359.212600000006</v>
      </c>
      <c r="AB11" s="261">
        <v>6697587.44</v>
      </c>
      <c r="AC11" s="262">
        <f t="shared" si="10"/>
        <v>66056800.04</v>
      </c>
      <c r="AD11" s="261">
        <f>AB11/1000</f>
        <v>6697.58744</v>
      </c>
      <c r="AE11" s="262">
        <f t="shared" si="11"/>
        <v>66056.80004</v>
      </c>
      <c r="AF11" s="262">
        <v>6703259.75</v>
      </c>
      <c r="AG11" s="262">
        <f>AC11+AF11</f>
        <v>72760059.78999999</v>
      </c>
      <c r="AH11" s="261">
        <f t="shared" si="14"/>
        <v>6703.25975</v>
      </c>
      <c r="AI11" s="262">
        <f t="shared" si="12"/>
        <v>72760.05979</v>
      </c>
      <c r="AJ11" s="262">
        <v>7047395.74</v>
      </c>
      <c r="AK11" s="262">
        <f>AG11+AJ11</f>
        <v>79807455.52999999</v>
      </c>
      <c r="AL11" s="261">
        <f t="shared" si="15"/>
        <v>7047.39574</v>
      </c>
      <c r="AM11" s="262">
        <f t="shared" si="13"/>
        <v>79807.45553</v>
      </c>
    </row>
    <row r="12" spans="1:39" ht="30" customHeight="1">
      <c r="A12" s="264" t="s">
        <v>618</v>
      </c>
      <c r="B12" s="276">
        <v>12423888</v>
      </c>
      <c r="C12" s="276">
        <v>10857482</v>
      </c>
      <c r="D12" s="276">
        <v>27332370.55</v>
      </c>
      <c r="E12" s="276">
        <f>B12+C12+D12</f>
        <v>50613740.55</v>
      </c>
      <c r="F12" s="276">
        <f>E12/1000</f>
        <v>50613.740549999995</v>
      </c>
      <c r="G12" s="276"/>
      <c r="H12" s="276">
        <v>12439640</v>
      </c>
      <c r="I12" s="276">
        <f>H12/1000</f>
        <v>12439.64</v>
      </c>
      <c r="J12" s="276">
        <f t="shared" si="3"/>
        <v>63053380.55</v>
      </c>
      <c r="K12" s="276">
        <f t="shared" si="3"/>
        <v>63053.380549999994</v>
      </c>
      <c r="L12" s="261">
        <v>-1598043</v>
      </c>
      <c r="M12" s="262">
        <f t="shared" si="16"/>
        <v>61455337.55</v>
      </c>
      <c r="N12" s="261">
        <f t="shared" si="17"/>
        <v>-1598.043</v>
      </c>
      <c r="O12" s="262">
        <f t="shared" si="4"/>
        <v>61455.33755</v>
      </c>
      <c r="P12" s="262">
        <v>13420834</v>
      </c>
      <c r="Q12" s="265">
        <f t="shared" si="5"/>
        <v>74876171.55</v>
      </c>
      <c r="R12" s="261">
        <f t="shared" si="18"/>
        <v>13420.834</v>
      </c>
      <c r="S12" s="262">
        <f t="shared" si="6"/>
        <v>74876.17155</v>
      </c>
      <c r="T12" s="262">
        <v>11833792</v>
      </c>
      <c r="U12" s="262">
        <f t="shared" si="7"/>
        <v>86709963.55</v>
      </c>
      <c r="V12" s="261">
        <f t="shared" si="19"/>
        <v>11833.792</v>
      </c>
      <c r="W12" s="262">
        <f t="shared" si="8"/>
        <v>86709.96355</v>
      </c>
      <c r="X12" s="262">
        <v>11838520</v>
      </c>
      <c r="Y12" s="262">
        <f>U12+X12</f>
        <v>98548483.55</v>
      </c>
      <c r="Z12" s="261">
        <f t="shared" si="20"/>
        <v>11838.52</v>
      </c>
      <c r="AA12" s="262">
        <f t="shared" si="21"/>
        <v>98548.48355</v>
      </c>
      <c r="AB12" s="261">
        <f>46367816.86-34853500+72863</f>
        <v>11587179.86</v>
      </c>
      <c r="AC12" s="262">
        <f t="shared" si="10"/>
        <v>110135663.41</v>
      </c>
      <c r="AD12" s="261">
        <f>AB12/1000</f>
        <v>11587.17986</v>
      </c>
      <c r="AE12" s="262">
        <f t="shared" si="11"/>
        <v>110135.66341000001</v>
      </c>
      <c r="AF12" s="262">
        <v>8840317</v>
      </c>
      <c r="AG12" s="262">
        <f>AC12+AF12</f>
        <v>118975980.41</v>
      </c>
      <c r="AH12" s="261">
        <f t="shared" si="14"/>
        <v>8840.317</v>
      </c>
      <c r="AI12" s="262">
        <f t="shared" si="12"/>
        <v>118975.98041</v>
      </c>
      <c r="AJ12" s="262">
        <v>9173262</v>
      </c>
      <c r="AK12" s="262">
        <f>AG12+AJ12</f>
        <v>128149242.41</v>
      </c>
      <c r="AL12" s="261">
        <f t="shared" si="15"/>
        <v>9173.262</v>
      </c>
      <c r="AM12" s="262">
        <f t="shared" si="13"/>
        <v>128149.24241</v>
      </c>
    </row>
    <row r="13" spans="1:39" ht="30" customHeight="1">
      <c r="A13" s="290" t="s">
        <v>643</v>
      </c>
      <c r="B13" s="276"/>
      <c r="C13" s="276"/>
      <c r="D13" s="262">
        <v>34853500</v>
      </c>
      <c r="E13" s="262">
        <f>B13+C13+D13</f>
        <v>34853500</v>
      </c>
      <c r="F13" s="262">
        <f>E13/1000</f>
        <v>34853.5</v>
      </c>
      <c r="G13" s="262"/>
      <c r="H13" s="261"/>
      <c r="I13" s="261"/>
      <c r="J13" s="262">
        <f t="shared" si="3"/>
        <v>34853500</v>
      </c>
      <c r="K13" s="262">
        <f>F13+I13</f>
        <v>34853.5</v>
      </c>
      <c r="L13" s="261"/>
      <c r="M13" s="262">
        <f>J13+L13</f>
        <v>34853500</v>
      </c>
      <c r="N13" s="261"/>
      <c r="O13" s="262">
        <f t="shared" si="4"/>
        <v>34853.5</v>
      </c>
      <c r="P13" s="262">
        <v>34853500</v>
      </c>
      <c r="Q13" s="265">
        <f t="shared" si="5"/>
        <v>69707000</v>
      </c>
      <c r="R13" s="261">
        <v>34853.5</v>
      </c>
      <c r="S13" s="262">
        <f t="shared" si="6"/>
        <v>69707</v>
      </c>
      <c r="T13" s="261"/>
      <c r="U13" s="262">
        <f t="shared" si="7"/>
        <v>69707000</v>
      </c>
      <c r="V13" s="261">
        <f t="shared" si="19"/>
        <v>0</v>
      </c>
      <c r="W13" s="262">
        <f t="shared" si="8"/>
        <v>69707</v>
      </c>
      <c r="X13" s="262">
        <v>0</v>
      </c>
      <c r="Y13" s="262">
        <f>U13+X13</f>
        <v>69707000</v>
      </c>
      <c r="Z13" s="261">
        <v>0</v>
      </c>
      <c r="AA13" s="262">
        <f t="shared" si="21"/>
        <v>69707</v>
      </c>
      <c r="AB13" s="261">
        <v>34853500</v>
      </c>
      <c r="AC13" s="262">
        <f>Y13+AB13</f>
        <v>104560500</v>
      </c>
      <c r="AD13" s="261">
        <f>AB13/1000</f>
        <v>34853.5</v>
      </c>
      <c r="AE13" s="262">
        <f>AA13+AD13</f>
        <v>104560.5</v>
      </c>
      <c r="AF13" s="262"/>
      <c r="AG13" s="262">
        <f>AC13+AF13</f>
        <v>104560500</v>
      </c>
      <c r="AH13" s="261">
        <f t="shared" si="14"/>
        <v>0</v>
      </c>
      <c r="AI13" s="262">
        <f t="shared" si="12"/>
        <v>104560.5</v>
      </c>
      <c r="AJ13" s="262"/>
      <c r="AK13" s="262">
        <f>AG13+AJ13</f>
        <v>104560500</v>
      </c>
      <c r="AL13" s="261">
        <f t="shared" si="15"/>
        <v>0</v>
      </c>
      <c r="AM13" s="262">
        <f t="shared" si="13"/>
        <v>104560.5</v>
      </c>
    </row>
    <row r="14" spans="1:39" ht="23.25" customHeight="1">
      <c r="A14" s="277" t="s">
        <v>619</v>
      </c>
      <c r="B14" s="262"/>
      <c r="C14" s="262"/>
      <c r="D14" s="262"/>
      <c r="E14" s="262"/>
      <c r="F14" s="262"/>
      <c r="G14" s="262"/>
      <c r="H14" s="262"/>
      <c r="I14" s="261"/>
      <c r="J14" s="261"/>
      <c r="K14" s="261"/>
      <c r="L14" s="261"/>
      <c r="M14" s="262">
        <f t="shared" si="16"/>
        <v>0</v>
      </c>
      <c r="N14" s="261">
        <f t="shared" si="17"/>
        <v>0</v>
      </c>
      <c r="O14" s="262">
        <f t="shared" si="4"/>
        <v>0</v>
      </c>
      <c r="P14" s="262">
        <f>-149540.29+149540.29</f>
        <v>0</v>
      </c>
      <c r="Q14" s="265">
        <f t="shared" si="5"/>
        <v>0</v>
      </c>
      <c r="R14" s="261">
        <f t="shared" si="18"/>
        <v>0</v>
      </c>
      <c r="S14" s="262">
        <f t="shared" si="6"/>
        <v>0</v>
      </c>
      <c r="T14" s="261"/>
      <c r="U14" s="262">
        <f t="shared" si="7"/>
        <v>0</v>
      </c>
      <c r="V14" s="261">
        <f t="shared" si="19"/>
        <v>0</v>
      </c>
      <c r="W14" s="262">
        <f t="shared" si="8"/>
        <v>0</v>
      </c>
      <c r="X14" s="262"/>
      <c r="Y14" s="262">
        <f t="shared" si="9"/>
        <v>0</v>
      </c>
      <c r="Z14" s="261">
        <f t="shared" si="20"/>
        <v>0</v>
      </c>
      <c r="AA14" s="262">
        <f t="shared" si="21"/>
        <v>0</v>
      </c>
      <c r="AB14" s="261"/>
      <c r="AC14" s="262"/>
      <c r="AD14" s="261"/>
      <c r="AE14" s="262"/>
      <c r="AF14" s="262"/>
      <c r="AG14" s="261"/>
      <c r="AH14" s="261">
        <f t="shared" si="14"/>
        <v>0</v>
      </c>
      <c r="AI14" s="262">
        <f t="shared" si="12"/>
        <v>0</v>
      </c>
      <c r="AJ14" s="262"/>
      <c r="AK14" s="261"/>
      <c r="AL14" s="261">
        <f t="shared" si="15"/>
        <v>0</v>
      </c>
      <c r="AM14" s="262">
        <f t="shared" si="13"/>
        <v>0</v>
      </c>
    </row>
    <row r="15" spans="1:39" ht="23.25" customHeight="1" thickBot="1">
      <c r="A15" s="277" t="s">
        <v>620</v>
      </c>
      <c r="B15" s="262"/>
      <c r="C15" s="262"/>
      <c r="D15" s="262"/>
      <c r="E15" s="262"/>
      <c r="F15" s="262"/>
      <c r="G15" s="262"/>
      <c r="H15" s="262"/>
      <c r="I15" s="261"/>
      <c r="J15" s="261"/>
      <c r="K15" s="261"/>
      <c r="L15" s="261"/>
      <c r="M15" s="262">
        <f t="shared" si="16"/>
        <v>0</v>
      </c>
      <c r="N15" s="261">
        <f t="shared" si="17"/>
        <v>0</v>
      </c>
      <c r="O15" s="262">
        <f t="shared" si="4"/>
        <v>0</v>
      </c>
      <c r="P15" s="261"/>
      <c r="Q15" s="265">
        <f t="shared" si="5"/>
        <v>0</v>
      </c>
      <c r="R15" s="261">
        <f t="shared" si="18"/>
        <v>0</v>
      </c>
      <c r="S15" s="261"/>
      <c r="T15" s="262"/>
      <c r="U15" s="262">
        <f t="shared" si="7"/>
        <v>0</v>
      </c>
      <c r="V15" s="261">
        <f t="shared" si="19"/>
        <v>0</v>
      </c>
      <c r="W15" s="262">
        <f t="shared" si="8"/>
        <v>0</v>
      </c>
      <c r="X15" s="262"/>
      <c r="Y15" s="262">
        <f t="shared" si="9"/>
        <v>0</v>
      </c>
      <c r="Z15" s="261">
        <f t="shared" si="20"/>
        <v>0</v>
      </c>
      <c r="AA15" s="262">
        <f t="shared" si="21"/>
        <v>0</v>
      </c>
      <c r="AB15" s="261"/>
      <c r="AC15" s="262">
        <f t="shared" si="10"/>
        <v>0</v>
      </c>
      <c r="AD15" s="261">
        <f>AC15/1000</f>
        <v>0</v>
      </c>
      <c r="AE15" s="262">
        <f t="shared" si="11"/>
        <v>0</v>
      </c>
      <c r="AF15" s="262"/>
      <c r="AG15" s="261"/>
      <c r="AH15" s="261">
        <f t="shared" si="14"/>
        <v>0</v>
      </c>
      <c r="AI15" s="262">
        <f t="shared" si="12"/>
        <v>0</v>
      </c>
      <c r="AJ15" s="262"/>
      <c r="AK15" s="261"/>
      <c r="AL15" s="261">
        <f t="shared" si="15"/>
        <v>0</v>
      </c>
      <c r="AM15" s="262">
        <f t="shared" si="13"/>
        <v>0</v>
      </c>
    </row>
    <row r="16" spans="1:39" ht="23.25" customHeight="1" thickBot="1">
      <c r="A16" s="278" t="s">
        <v>621</v>
      </c>
      <c r="B16" s="262"/>
      <c r="C16" s="262"/>
      <c r="D16" s="262"/>
      <c r="E16" s="262"/>
      <c r="F16" s="262"/>
      <c r="G16" s="262"/>
      <c r="H16" s="262"/>
      <c r="I16" s="261"/>
      <c r="J16" s="261"/>
      <c r="K16" s="261"/>
      <c r="L16" s="261"/>
      <c r="M16" s="262">
        <f t="shared" si="16"/>
        <v>0</v>
      </c>
      <c r="N16" s="261">
        <f t="shared" si="17"/>
        <v>0</v>
      </c>
      <c r="O16" s="262">
        <f t="shared" si="4"/>
        <v>0</v>
      </c>
      <c r="P16" s="261"/>
      <c r="Q16" s="265">
        <f t="shared" si="5"/>
        <v>0</v>
      </c>
      <c r="R16" s="261">
        <f t="shared" si="18"/>
        <v>0</v>
      </c>
      <c r="S16" s="261"/>
      <c r="T16" s="261"/>
      <c r="U16" s="262">
        <f t="shared" si="7"/>
        <v>0</v>
      </c>
      <c r="V16" s="261">
        <f t="shared" si="19"/>
        <v>0</v>
      </c>
      <c r="W16" s="262">
        <f t="shared" si="8"/>
        <v>0</v>
      </c>
      <c r="X16" s="262"/>
      <c r="Y16" s="262">
        <f t="shared" si="9"/>
        <v>0</v>
      </c>
      <c r="Z16" s="261">
        <f t="shared" si="20"/>
        <v>0</v>
      </c>
      <c r="AA16" s="262">
        <f t="shared" si="21"/>
        <v>0</v>
      </c>
      <c r="AB16" s="261"/>
      <c r="AC16" s="261"/>
      <c r="AD16" s="261">
        <f>AC16/1000</f>
        <v>0</v>
      </c>
      <c r="AE16" s="262">
        <f t="shared" si="11"/>
        <v>0</v>
      </c>
      <c r="AF16" s="262"/>
      <c r="AG16" s="261"/>
      <c r="AH16" s="261"/>
      <c r="AI16" s="262">
        <f t="shared" si="12"/>
        <v>0</v>
      </c>
      <c r="AJ16" s="262"/>
      <c r="AK16" s="261"/>
      <c r="AL16" s="261"/>
      <c r="AM16" s="262">
        <f t="shared" si="13"/>
        <v>0</v>
      </c>
    </row>
    <row r="17" spans="1:39" ht="35.25" customHeight="1" thickBot="1">
      <c r="A17" s="279" t="s">
        <v>622</v>
      </c>
      <c r="B17" s="269">
        <f>B6-B8</f>
        <v>224448259.33</v>
      </c>
      <c r="C17" s="269">
        <f>C6-C8</f>
        <v>122141798.07999995</v>
      </c>
      <c r="D17" s="269">
        <f>D6-D8</f>
        <v>84296822.90000007</v>
      </c>
      <c r="E17" s="269">
        <f>E6-E8</f>
        <v>430886880.3100003</v>
      </c>
      <c r="F17" s="269">
        <f>F6-F8</f>
        <v>633906.0503100003</v>
      </c>
      <c r="G17" s="269"/>
      <c r="H17" s="269">
        <f aca="true" t="shared" si="22" ref="H17:AF17">H6-H8</f>
        <v>154676848.07000002</v>
      </c>
      <c r="I17" s="269">
        <f t="shared" si="22"/>
        <v>210789.68906999996</v>
      </c>
      <c r="J17" s="269">
        <f t="shared" si="22"/>
        <v>585563728.3800004</v>
      </c>
      <c r="K17" s="269">
        <f t="shared" si="22"/>
        <v>809842.2393800002</v>
      </c>
      <c r="L17" s="269">
        <f t="shared" si="22"/>
        <v>11657325.889999926</v>
      </c>
      <c r="M17" s="269">
        <f t="shared" si="22"/>
        <v>597221054.2700005</v>
      </c>
      <c r="N17" s="269">
        <f t="shared" si="22"/>
        <v>68046.1218899999</v>
      </c>
      <c r="O17" s="269">
        <f t="shared" si="22"/>
        <v>877888.3612700002</v>
      </c>
      <c r="P17" s="269">
        <f>P6-P8</f>
        <v>17209484.199999943</v>
      </c>
      <c r="Q17" s="271">
        <f t="shared" si="22"/>
        <v>614430538.4700007</v>
      </c>
      <c r="R17" s="269">
        <f t="shared" si="22"/>
        <v>74220.7692</v>
      </c>
      <c r="S17" s="269">
        <f t="shared" si="22"/>
        <v>952109.1304700002</v>
      </c>
      <c r="T17" s="269">
        <f t="shared" si="22"/>
        <v>106881626.00000006</v>
      </c>
      <c r="U17" s="270">
        <f t="shared" si="22"/>
        <v>721312164.4700009</v>
      </c>
      <c r="V17" s="272">
        <f t="shared" si="22"/>
        <v>163142.40000000002</v>
      </c>
      <c r="W17" s="269">
        <f t="shared" si="22"/>
        <v>1115251.5304700003</v>
      </c>
      <c r="X17" s="269">
        <f t="shared" si="22"/>
        <v>-20601969.370000005</v>
      </c>
      <c r="Y17" s="269">
        <f t="shared" si="22"/>
        <v>700710195.1000012</v>
      </c>
      <c r="Z17" s="272">
        <f t="shared" si="22"/>
        <v>35660.519630000024</v>
      </c>
      <c r="AA17" s="269">
        <f t="shared" si="22"/>
        <v>1150912.0501000006</v>
      </c>
      <c r="AB17" s="269">
        <f t="shared" si="22"/>
        <v>57714380.000000075</v>
      </c>
      <c r="AC17" s="269">
        <f t="shared" si="22"/>
        <v>758424575.1000011</v>
      </c>
      <c r="AD17" s="272">
        <f t="shared" si="22"/>
        <v>113974.25100000008</v>
      </c>
      <c r="AE17" s="269">
        <f>AE6-AE8</f>
        <v>1264886.3011000007</v>
      </c>
      <c r="AF17" s="269">
        <f t="shared" si="22"/>
        <v>292611452.81000006</v>
      </c>
      <c r="AG17" s="269">
        <f aca="true" t="shared" si="23" ref="AG17:AM17">AG6-AG8</f>
        <v>1051036027.9100012</v>
      </c>
      <c r="AH17" s="272">
        <f t="shared" si="23"/>
        <v>348870.73681000003</v>
      </c>
      <c r="AI17" s="269">
        <f t="shared" si="23"/>
        <v>1613757.037910001</v>
      </c>
      <c r="AJ17" s="269">
        <f t="shared" si="23"/>
        <v>155641410.11</v>
      </c>
      <c r="AK17" s="269">
        <f t="shared" si="23"/>
        <v>1206677438.0200012</v>
      </c>
      <c r="AL17" s="272">
        <f t="shared" si="23"/>
        <v>211888.48511</v>
      </c>
      <c r="AM17" s="269">
        <f t="shared" si="23"/>
        <v>1825645.523020001</v>
      </c>
    </row>
    <row r="18" spans="1:39" ht="15.75" thickBot="1">
      <c r="A18" s="280"/>
      <c r="B18" s="261"/>
      <c r="C18" s="261"/>
      <c r="D18" s="261"/>
      <c r="E18" s="261"/>
      <c r="F18" s="261"/>
      <c r="G18" s="262"/>
      <c r="H18" s="261"/>
      <c r="I18" s="261"/>
      <c r="J18" s="261"/>
      <c r="K18" s="261"/>
      <c r="L18" s="261"/>
      <c r="M18" s="261"/>
      <c r="N18" s="261"/>
      <c r="O18" s="261"/>
      <c r="P18" s="261"/>
      <c r="Q18" s="263"/>
      <c r="R18" s="261"/>
      <c r="S18" s="261"/>
      <c r="T18" s="261"/>
      <c r="U18" s="261"/>
      <c r="V18" s="261"/>
      <c r="W18" s="261"/>
      <c r="X18" s="262"/>
      <c r="Y18" s="261"/>
      <c r="Z18" s="261"/>
      <c r="AA18" s="262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</row>
    <row r="19" spans="1:39" ht="16.5" thickBot="1">
      <c r="A19" s="281" t="s">
        <v>623</v>
      </c>
      <c r="B19" s="261"/>
      <c r="C19" s="261"/>
      <c r="D19" s="261"/>
      <c r="E19" s="261"/>
      <c r="F19" s="261"/>
      <c r="G19" s="262"/>
      <c r="H19" s="261"/>
      <c r="I19" s="261"/>
      <c r="J19" s="261"/>
      <c r="K19" s="261"/>
      <c r="L19" s="261"/>
      <c r="M19" s="261"/>
      <c r="N19" s="261"/>
      <c r="O19" s="261"/>
      <c r="P19" s="261"/>
      <c r="Q19" s="263"/>
      <c r="R19" s="261"/>
      <c r="S19" s="261"/>
      <c r="T19" s="261"/>
      <c r="U19" s="261"/>
      <c r="V19" s="261"/>
      <c r="W19" s="261"/>
      <c r="X19" s="262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</row>
    <row r="20" spans="1:39" ht="15">
      <c r="A20" s="282" t="s">
        <v>624</v>
      </c>
      <c r="B20" s="262">
        <f>2151644.43-5103.57</f>
        <v>2146540.8600000003</v>
      </c>
      <c r="C20" s="262">
        <v>2638431.03</v>
      </c>
      <c r="D20" s="262">
        <v>2937128.42</v>
      </c>
      <c r="E20" s="262">
        <f aca="true" t="shared" si="24" ref="E20:E29">B20+C20+D20</f>
        <v>7722100.3100000005</v>
      </c>
      <c r="F20" s="262">
        <f>E20/1000</f>
        <v>7722.100310000001</v>
      </c>
      <c r="G20" s="262"/>
      <c r="H20" s="262">
        <v>3441990.76</v>
      </c>
      <c r="I20" s="261">
        <f>H20/1000</f>
        <v>3441.9907599999997</v>
      </c>
      <c r="J20" s="262">
        <f aca="true" t="shared" si="25" ref="J20:K29">E20+H20</f>
        <v>11164091.07</v>
      </c>
      <c r="K20" s="262">
        <f>F20+I20</f>
        <v>11164.09107</v>
      </c>
      <c r="L20" s="261">
        <v>3364377.58</v>
      </c>
      <c r="M20" s="262">
        <f>J20+L20</f>
        <v>14528468.65</v>
      </c>
      <c r="N20" s="261">
        <f>L20/1000</f>
        <v>3364.37758</v>
      </c>
      <c r="O20" s="262">
        <f aca="true" t="shared" si="26" ref="O20:O30">K20+N20</f>
        <v>14528.46865</v>
      </c>
      <c r="P20" s="262">
        <f>3514680.9</f>
        <v>3514680.9</v>
      </c>
      <c r="Q20" s="265">
        <f aca="true" t="shared" si="27" ref="Q20:Q30">M20+P20</f>
        <v>18043149.55</v>
      </c>
      <c r="R20" s="261">
        <f>P20/1000</f>
        <v>3514.6809</v>
      </c>
      <c r="S20" s="261">
        <f>Q20/1000</f>
        <v>18043.149550000002</v>
      </c>
      <c r="T20" s="261">
        <v>4648145.94</v>
      </c>
      <c r="U20" s="262">
        <f aca="true" t="shared" si="28" ref="U20:U30">Q20+T20</f>
        <v>22691295.490000002</v>
      </c>
      <c r="V20" s="261">
        <f>T20/1000</f>
        <v>4648.14594</v>
      </c>
      <c r="W20" s="262">
        <f aca="true" t="shared" si="29" ref="W20:W30">S20+V20</f>
        <v>22691.295490000004</v>
      </c>
      <c r="X20" s="262">
        <v>3050038.75</v>
      </c>
      <c r="Y20" s="262">
        <f aca="true" t="shared" si="30" ref="Y20:Y30">U20+X20</f>
        <v>25741334.240000002</v>
      </c>
      <c r="Z20" s="261">
        <f>X20/1000</f>
        <v>3050.03875</v>
      </c>
      <c r="AA20" s="262">
        <f>W20+Z20</f>
        <v>25741.334240000004</v>
      </c>
      <c r="AB20" s="261">
        <v>2795398.84</v>
      </c>
      <c r="AC20" s="262">
        <f aca="true" t="shared" si="31" ref="AC20:AC30">Y20+AB20</f>
        <v>28536733.080000002</v>
      </c>
      <c r="AD20" s="261">
        <f>AB20/1000</f>
        <v>2795.39884</v>
      </c>
      <c r="AE20" s="262">
        <f aca="true" t="shared" si="32" ref="AE20:AE30">AA20+AD20</f>
        <v>28536.733080000005</v>
      </c>
      <c r="AF20" s="262">
        <v>2919436.6</v>
      </c>
      <c r="AG20" s="262">
        <f aca="true" t="shared" si="33" ref="AG20:AG31">AC20+AF20</f>
        <v>31456169.680000003</v>
      </c>
      <c r="AH20" s="261">
        <f aca="true" t="shared" si="34" ref="AH20:AH31">AF20/1000</f>
        <v>2919.4366</v>
      </c>
      <c r="AI20" s="262">
        <f aca="true" t="shared" si="35" ref="AI20:AI31">AE20+AH20</f>
        <v>31456.169680000006</v>
      </c>
      <c r="AJ20" s="262">
        <v>3007814.03</v>
      </c>
      <c r="AK20" s="262">
        <f>AG20+AJ20</f>
        <v>34463983.71</v>
      </c>
      <c r="AL20" s="261">
        <f aca="true" t="shared" si="36" ref="AL20:AL31">AJ20/1000</f>
        <v>3007.81403</v>
      </c>
      <c r="AM20" s="262">
        <f aca="true" t="shared" si="37" ref="AM20:AM31">AI20+AL20</f>
        <v>34463.98371000001</v>
      </c>
    </row>
    <row r="21" spans="1:39" ht="15">
      <c r="A21" s="264" t="s">
        <v>625</v>
      </c>
      <c r="B21" s="262">
        <v>5103.57</v>
      </c>
      <c r="C21" s="262">
        <v>5103.57</v>
      </c>
      <c r="D21" s="262">
        <v>20414.28</v>
      </c>
      <c r="E21" s="262">
        <f t="shared" si="24"/>
        <v>30621.42</v>
      </c>
      <c r="F21" s="262">
        <f aca="true" t="shared" si="38" ref="F21:F29">E21/1000</f>
        <v>30.621419999999997</v>
      </c>
      <c r="G21" s="262"/>
      <c r="H21" s="262">
        <v>25517.85</v>
      </c>
      <c r="I21" s="261">
        <f aca="true" t="shared" si="39" ref="I21:I29">H21/1000</f>
        <v>25.51785</v>
      </c>
      <c r="J21" s="262">
        <f t="shared" si="25"/>
        <v>56139.27</v>
      </c>
      <c r="K21" s="262">
        <f t="shared" si="25"/>
        <v>56.139269999999996</v>
      </c>
      <c r="L21" s="261"/>
      <c r="M21" s="262">
        <f aca="true" t="shared" si="40" ref="M21:M30">J21+L21</f>
        <v>56139.27</v>
      </c>
      <c r="N21" s="261">
        <f aca="true" t="shared" si="41" ref="N21:N30">L21/1000</f>
        <v>0</v>
      </c>
      <c r="O21" s="262">
        <f t="shared" si="26"/>
        <v>56.139269999999996</v>
      </c>
      <c r="P21" s="262">
        <v>5103.57</v>
      </c>
      <c r="Q21" s="265">
        <f t="shared" si="27"/>
        <v>61242.84</v>
      </c>
      <c r="R21" s="261">
        <f aca="true" t="shared" si="42" ref="R21:S30">P21/1000</f>
        <v>5.1035699999999995</v>
      </c>
      <c r="S21" s="261">
        <f t="shared" si="42"/>
        <v>61.242839999999994</v>
      </c>
      <c r="T21" s="261"/>
      <c r="U21" s="262">
        <f t="shared" si="28"/>
        <v>61242.84</v>
      </c>
      <c r="V21" s="261">
        <f aca="true" t="shared" si="43" ref="V21:V30">T21/1000</f>
        <v>0</v>
      </c>
      <c r="W21" s="262">
        <f t="shared" si="29"/>
        <v>61.242839999999994</v>
      </c>
      <c r="X21" s="262">
        <v>5103.57</v>
      </c>
      <c r="Y21" s="262">
        <f t="shared" si="30"/>
        <v>66346.41</v>
      </c>
      <c r="Z21" s="261">
        <f aca="true" t="shared" si="44" ref="Z21:Z30">X21/1000</f>
        <v>5.1035699999999995</v>
      </c>
      <c r="AA21" s="262">
        <f aca="true" t="shared" si="45" ref="AA21:AA30">W21+Z21</f>
        <v>66.34640999999999</v>
      </c>
      <c r="AB21" s="261"/>
      <c r="AC21" s="262">
        <f t="shared" si="31"/>
        <v>66346.41</v>
      </c>
      <c r="AD21" s="261"/>
      <c r="AE21" s="262">
        <f t="shared" si="32"/>
        <v>66.34640999999999</v>
      </c>
      <c r="AF21" s="262"/>
      <c r="AG21" s="262">
        <f t="shared" si="33"/>
        <v>66346.41</v>
      </c>
      <c r="AH21" s="261">
        <f t="shared" si="34"/>
        <v>0</v>
      </c>
      <c r="AI21" s="262">
        <f t="shared" si="35"/>
        <v>66.34640999999999</v>
      </c>
      <c r="AJ21" s="262"/>
      <c r="AK21" s="262">
        <f aca="true" t="shared" si="46" ref="AK21:AK31">AG21+AJ21</f>
        <v>66346.41</v>
      </c>
      <c r="AL21" s="261">
        <f t="shared" si="36"/>
        <v>0</v>
      </c>
      <c r="AM21" s="262">
        <f t="shared" si="37"/>
        <v>66.34640999999999</v>
      </c>
    </row>
    <row r="22" spans="1:39" ht="15">
      <c r="A22" s="264" t="s">
        <v>626</v>
      </c>
      <c r="B22" s="262">
        <v>392710.02</v>
      </c>
      <c r="C22" s="262">
        <v>899582.81</v>
      </c>
      <c r="D22" s="262">
        <v>849824.66</v>
      </c>
      <c r="E22" s="262">
        <f t="shared" si="24"/>
        <v>2142117.49</v>
      </c>
      <c r="F22" s="262">
        <f t="shared" si="38"/>
        <v>2142.11749</v>
      </c>
      <c r="G22" s="262"/>
      <c r="H22" s="262">
        <v>688781.45</v>
      </c>
      <c r="I22" s="261">
        <f t="shared" si="39"/>
        <v>688.78145</v>
      </c>
      <c r="J22" s="262">
        <f t="shared" si="25"/>
        <v>2830898.9400000004</v>
      </c>
      <c r="K22" s="262">
        <f t="shared" si="25"/>
        <v>2830.89894</v>
      </c>
      <c r="L22" s="261">
        <v>596168.25</v>
      </c>
      <c r="M22" s="262">
        <f t="shared" si="40"/>
        <v>3427067.1900000004</v>
      </c>
      <c r="N22" s="261">
        <f t="shared" si="41"/>
        <v>596.16825</v>
      </c>
      <c r="O22" s="262">
        <f t="shared" si="26"/>
        <v>3427.0671899999998</v>
      </c>
      <c r="P22" s="262">
        <f>311231769-310000000-644583.34</f>
        <v>587185.66</v>
      </c>
      <c r="Q22" s="265">
        <f t="shared" si="27"/>
        <v>4014252.8500000006</v>
      </c>
      <c r="R22" s="261">
        <f t="shared" si="42"/>
        <v>587.18566</v>
      </c>
      <c r="S22" s="261">
        <f t="shared" si="42"/>
        <v>4014.2528500000008</v>
      </c>
      <c r="T22" s="261">
        <v>724502.27</v>
      </c>
      <c r="U22" s="262">
        <f t="shared" si="28"/>
        <v>4738755.120000001</v>
      </c>
      <c r="V22" s="261">
        <f t="shared" si="43"/>
        <v>724.5022700000001</v>
      </c>
      <c r="W22" s="262">
        <f t="shared" si="29"/>
        <v>4738.755120000001</v>
      </c>
      <c r="X22" s="262">
        <v>1067453.98</v>
      </c>
      <c r="Y22" s="262">
        <f t="shared" si="30"/>
        <v>5806209.1000000015</v>
      </c>
      <c r="Z22" s="261">
        <f t="shared" si="44"/>
        <v>1067.45398</v>
      </c>
      <c r="AA22" s="262">
        <f t="shared" si="45"/>
        <v>5806.209100000001</v>
      </c>
      <c r="AB22" s="261">
        <f>3213129.94-2284261.69</f>
        <v>928868.25</v>
      </c>
      <c r="AC22" s="262">
        <f t="shared" si="31"/>
        <v>6735077.3500000015</v>
      </c>
      <c r="AD22" s="261">
        <f>AB22/1000</f>
        <v>928.86825</v>
      </c>
      <c r="AE22" s="262">
        <f t="shared" si="32"/>
        <v>6735.077350000001</v>
      </c>
      <c r="AF22" s="262">
        <v>1539249.06</v>
      </c>
      <c r="AG22" s="262">
        <f t="shared" si="33"/>
        <v>8274326.410000002</v>
      </c>
      <c r="AH22" s="261">
        <f t="shared" si="34"/>
        <v>1539.24906</v>
      </c>
      <c r="AI22" s="262">
        <f t="shared" si="35"/>
        <v>8274.326410000001</v>
      </c>
      <c r="AJ22" s="262">
        <f>7093225.11-6425974.69</f>
        <v>667250.4199999999</v>
      </c>
      <c r="AK22" s="262">
        <f t="shared" si="46"/>
        <v>8941576.830000002</v>
      </c>
      <c r="AL22" s="261">
        <f t="shared" si="36"/>
        <v>667.25042</v>
      </c>
      <c r="AM22" s="262">
        <f t="shared" si="37"/>
        <v>8941.576830000002</v>
      </c>
    </row>
    <row r="23" spans="1:39" ht="15">
      <c r="A23" s="264" t="s">
        <v>627</v>
      </c>
      <c r="B23" s="262"/>
      <c r="C23" s="262"/>
      <c r="D23" s="262"/>
      <c r="E23" s="262">
        <f t="shared" si="24"/>
        <v>0</v>
      </c>
      <c r="F23" s="262">
        <f t="shared" si="38"/>
        <v>0</v>
      </c>
      <c r="G23" s="262"/>
      <c r="H23" s="262"/>
      <c r="I23" s="261">
        <f t="shared" si="39"/>
        <v>0</v>
      </c>
      <c r="J23" s="262">
        <f t="shared" si="25"/>
        <v>0</v>
      </c>
      <c r="K23" s="262">
        <f t="shared" si="25"/>
        <v>0</v>
      </c>
      <c r="L23" s="261"/>
      <c r="M23" s="262">
        <f t="shared" si="40"/>
        <v>0</v>
      </c>
      <c r="N23" s="261">
        <f t="shared" si="41"/>
        <v>0</v>
      </c>
      <c r="O23" s="262">
        <f t="shared" si="26"/>
        <v>0</v>
      </c>
      <c r="P23" s="262">
        <v>598968.01</v>
      </c>
      <c r="Q23" s="265">
        <f t="shared" si="27"/>
        <v>598968.01</v>
      </c>
      <c r="R23" s="261">
        <f t="shared" si="42"/>
        <v>598.96801</v>
      </c>
      <c r="S23" s="261">
        <f t="shared" si="42"/>
        <v>598.96801</v>
      </c>
      <c r="T23" s="261"/>
      <c r="U23" s="262">
        <f t="shared" si="28"/>
        <v>598968.01</v>
      </c>
      <c r="V23" s="261">
        <f t="shared" si="43"/>
        <v>0</v>
      </c>
      <c r="W23" s="262">
        <f t="shared" si="29"/>
        <v>598.96801</v>
      </c>
      <c r="X23" s="262"/>
      <c r="Y23" s="262">
        <f t="shared" si="30"/>
        <v>598968.01</v>
      </c>
      <c r="Z23" s="261">
        <f t="shared" si="44"/>
        <v>0</v>
      </c>
      <c r="AA23" s="262">
        <f t="shared" si="45"/>
        <v>598.96801</v>
      </c>
      <c r="AB23" s="262"/>
      <c r="AC23" s="262">
        <f t="shared" si="31"/>
        <v>598968.01</v>
      </c>
      <c r="AD23" s="261"/>
      <c r="AE23" s="262">
        <f t="shared" si="32"/>
        <v>598.96801</v>
      </c>
      <c r="AF23" s="262"/>
      <c r="AG23" s="262">
        <f t="shared" si="33"/>
        <v>598968.01</v>
      </c>
      <c r="AH23" s="261">
        <f t="shared" si="34"/>
        <v>0</v>
      </c>
      <c r="AI23" s="262">
        <f t="shared" si="35"/>
        <v>598.96801</v>
      </c>
      <c r="AJ23" s="262"/>
      <c r="AK23" s="262">
        <f t="shared" si="46"/>
        <v>598968.01</v>
      </c>
      <c r="AL23" s="261">
        <f t="shared" si="36"/>
        <v>0</v>
      </c>
      <c r="AM23" s="262">
        <f t="shared" si="37"/>
        <v>598.96801</v>
      </c>
    </row>
    <row r="24" spans="1:39" ht="15">
      <c r="A24" s="264" t="s">
        <v>628</v>
      </c>
      <c r="B24" s="262"/>
      <c r="C24" s="262"/>
      <c r="D24" s="262"/>
      <c r="E24" s="262">
        <f t="shared" si="24"/>
        <v>0</v>
      </c>
      <c r="F24" s="262">
        <f t="shared" si="38"/>
        <v>0</v>
      </c>
      <c r="G24" s="262"/>
      <c r="H24" s="262"/>
      <c r="I24" s="261">
        <f t="shared" si="39"/>
        <v>0</v>
      </c>
      <c r="J24" s="262">
        <f t="shared" si="25"/>
        <v>0</v>
      </c>
      <c r="K24" s="262">
        <f t="shared" si="25"/>
        <v>0</v>
      </c>
      <c r="L24" s="261"/>
      <c r="M24" s="262">
        <f t="shared" si="40"/>
        <v>0</v>
      </c>
      <c r="N24" s="261">
        <f t="shared" si="41"/>
        <v>0</v>
      </c>
      <c r="O24" s="262">
        <f t="shared" si="26"/>
        <v>0</v>
      </c>
      <c r="P24" s="262"/>
      <c r="Q24" s="265">
        <f t="shared" si="27"/>
        <v>0</v>
      </c>
      <c r="R24" s="261">
        <f t="shared" si="42"/>
        <v>0</v>
      </c>
      <c r="S24" s="261">
        <f t="shared" si="42"/>
        <v>0</v>
      </c>
      <c r="T24" s="261"/>
      <c r="U24" s="262">
        <f t="shared" si="28"/>
        <v>0</v>
      </c>
      <c r="V24" s="261">
        <f t="shared" si="43"/>
        <v>0</v>
      </c>
      <c r="W24" s="262">
        <f t="shared" si="29"/>
        <v>0</v>
      </c>
      <c r="X24" s="262"/>
      <c r="Y24" s="262">
        <f t="shared" si="30"/>
        <v>0</v>
      </c>
      <c r="Z24" s="261">
        <f t="shared" si="44"/>
        <v>0</v>
      </c>
      <c r="AA24" s="262">
        <f t="shared" si="45"/>
        <v>0</v>
      </c>
      <c r="AB24" s="261"/>
      <c r="AC24" s="262">
        <f t="shared" si="31"/>
        <v>0</v>
      </c>
      <c r="AD24" s="261"/>
      <c r="AE24" s="262">
        <f t="shared" si="32"/>
        <v>0</v>
      </c>
      <c r="AF24" s="262"/>
      <c r="AG24" s="262">
        <f t="shared" si="33"/>
        <v>0</v>
      </c>
      <c r="AH24" s="261">
        <f t="shared" si="34"/>
        <v>0</v>
      </c>
      <c r="AI24" s="262">
        <f t="shared" si="35"/>
        <v>0</v>
      </c>
      <c r="AJ24" s="262"/>
      <c r="AK24" s="262">
        <f t="shared" si="46"/>
        <v>0</v>
      </c>
      <c r="AL24" s="261">
        <f t="shared" si="36"/>
        <v>0</v>
      </c>
      <c r="AM24" s="262">
        <f t="shared" si="37"/>
        <v>0</v>
      </c>
    </row>
    <row r="25" spans="1:39" ht="15">
      <c r="A25" s="264" t="s">
        <v>629</v>
      </c>
      <c r="B25" s="262"/>
      <c r="C25" s="262"/>
      <c r="D25" s="262">
        <v>16782120</v>
      </c>
      <c r="E25" s="262">
        <f t="shared" si="24"/>
        <v>16782120</v>
      </c>
      <c r="F25" s="262">
        <f t="shared" si="38"/>
        <v>16782.12</v>
      </c>
      <c r="G25" s="262"/>
      <c r="H25" s="262"/>
      <c r="I25" s="261">
        <f t="shared" si="39"/>
        <v>0</v>
      </c>
      <c r="J25" s="262">
        <f t="shared" si="25"/>
        <v>16782120</v>
      </c>
      <c r="K25" s="262">
        <f t="shared" si="25"/>
        <v>16782.12</v>
      </c>
      <c r="L25" s="261"/>
      <c r="M25" s="262">
        <f t="shared" si="40"/>
        <v>16782120</v>
      </c>
      <c r="N25" s="261">
        <f t="shared" si="41"/>
        <v>0</v>
      </c>
      <c r="O25" s="262">
        <f t="shared" si="26"/>
        <v>16782.12</v>
      </c>
      <c r="P25" s="262">
        <v>16782120</v>
      </c>
      <c r="Q25" s="265">
        <f t="shared" si="27"/>
        <v>33564240</v>
      </c>
      <c r="R25" s="261">
        <f t="shared" si="42"/>
        <v>16782.12</v>
      </c>
      <c r="S25" s="261">
        <f t="shared" si="42"/>
        <v>33564.24</v>
      </c>
      <c r="T25" s="261"/>
      <c r="U25" s="262">
        <f t="shared" si="28"/>
        <v>33564240</v>
      </c>
      <c r="V25" s="261">
        <f t="shared" si="43"/>
        <v>0</v>
      </c>
      <c r="W25" s="262">
        <f t="shared" si="29"/>
        <v>33564.24</v>
      </c>
      <c r="X25" s="262"/>
      <c r="Y25" s="262">
        <f t="shared" si="30"/>
        <v>33564240</v>
      </c>
      <c r="Z25" s="261">
        <f t="shared" si="44"/>
        <v>0</v>
      </c>
      <c r="AA25" s="262">
        <f t="shared" si="45"/>
        <v>33564.24</v>
      </c>
      <c r="AB25" s="261">
        <v>16782120</v>
      </c>
      <c r="AC25" s="262">
        <f t="shared" si="31"/>
        <v>50346360</v>
      </c>
      <c r="AD25" s="261">
        <f>AB25/1000</f>
        <v>16782.12</v>
      </c>
      <c r="AE25" s="262">
        <f t="shared" si="32"/>
        <v>50346.36</v>
      </c>
      <c r="AF25" s="262"/>
      <c r="AG25" s="262">
        <f t="shared" si="33"/>
        <v>50346360</v>
      </c>
      <c r="AH25" s="261">
        <f t="shared" si="34"/>
        <v>0</v>
      </c>
      <c r="AI25" s="262">
        <f t="shared" si="35"/>
        <v>50346.36</v>
      </c>
      <c r="AJ25" s="262"/>
      <c r="AK25" s="262">
        <f t="shared" si="46"/>
        <v>50346360</v>
      </c>
      <c r="AL25" s="261">
        <f t="shared" si="36"/>
        <v>0</v>
      </c>
      <c r="AM25" s="262">
        <f t="shared" si="37"/>
        <v>50346.36</v>
      </c>
    </row>
    <row r="26" spans="1:39" ht="15">
      <c r="A26" s="264" t="s">
        <v>630</v>
      </c>
      <c r="B26" s="262"/>
      <c r="C26" s="262"/>
      <c r="D26" s="262"/>
      <c r="E26" s="262">
        <f t="shared" si="24"/>
        <v>0</v>
      </c>
      <c r="F26" s="262">
        <f t="shared" si="38"/>
        <v>0</v>
      </c>
      <c r="G26" s="262"/>
      <c r="H26" s="262"/>
      <c r="I26" s="261">
        <f t="shared" si="39"/>
        <v>0</v>
      </c>
      <c r="J26" s="262">
        <f t="shared" si="25"/>
        <v>0</v>
      </c>
      <c r="K26" s="262">
        <f t="shared" si="25"/>
        <v>0</v>
      </c>
      <c r="L26" s="261"/>
      <c r="M26" s="262">
        <f t="shared" si="40"/>
        <v>0</v>
      </c>
      <c r="N26" s="261">
        <f t="shared" si="41"/>
        <v>0</v>
      </c>
      <c r="O26" s="262">
        <f t="shared" si="26"/>
        <v>0</v>
      </c>
      <c r="P26" s="262"/>
      <c r="Q26" s="265">
        <f t="shared" si="27"/>
        <v>0</v>
      </c>
      <c r="R26" s="261">
        <f t="shared" si="42"/>
        <v>0</v>
      </c>
      <c r="S26" s="261">
        <f t="shared" si="42"/>
        <v>0</v>
      </c>
      <c r="T26" s="261"/>
      <c r="U26" s="262">
        <f t="shared" si="28"/>
        <v>0</v>
      </c>
      <c r="V26" s="261">
        <f t="shared" si="43"/>
        <v>0</v>
      </c>
      <c r="W26" s="262">
        <f t="shared" si="29"/>
        <v>0</v>
      </c>
      <c r="X26" s="262"/>
      <c r="Y26" s="262">
        <f t="shared" si="30"/>
        <v>0</v>
      </c>
      <c r="Z26" s="261">
        <f t="shared" si="44"/>
        <v>0</v>
      </c>
      <c r="AA26" s="262">
        <f t="shared" si="45"/>
        <v>0</v>
      </c>
      <c r="AB26" s="261"/>
      <c r="AC26" s="262">
        <f t="shared" si="31"/>
        <v>0</v>
      </c>
      <c r="AD26" s="261"/>
      <c r="AE26" s="262">
        <f t="shared" si="32"/>
        <v>0</v>
      </c>
      <c r="AF26" s="262"/>
      <c r="AG26" s="262">
        <f t="shared" si="33"/>
        <v>0</v>
      </c>
      <c r="AH26" s="261">
        <f t="shared" si="34"/>
        <v>0</v>
      </c>
      <c r="AI26" s="262">
        <f t="shared" si="35"/>
        <v>0</v>
      </c>
      <c r="AJ26" s="262"/>
      <c r="AK26" s="262">
        <f t="shared" si="46"/>
        <v>0</v>
      </c>
      <c r="AL26" s="261">
        <f t="shared" si="36"/>
        <v>0</v>
      </c>
      <c r="AM26" s="262">
        <f t="shared" si="37"/>
        <v>0</v>
      </c>
    </row>
    <row r="27" spans="1:39" ht="45">
      <c r="A27" s="264" t="s">
        <v>656</v>
      </c>
      <c r="B27" s="262"/>
      <c r="C27" s="262"/>
      <c r="D27" s="262"/>
      <c r="E27" s="262">
        <f t="shared" si="24"/>
        <v>0</v>
      </c>
      <c r="F27" s="262">
        <f t="shared" si="38"/>
        <v>0</v>
      </c>
      <c r="G27" s="262"/>
      <c r="H27" s="262"/>
      <c r="I27" s="261">
        <f t="shared" si="39"/>
        <v>0</v>
      </c>
      <c r="J27" s="262">
        <f t="shared" si="25"/>
        <v>0</v>
      </c>
      <c r="K27" s="262">
        <f t="shared" si="25"/>
        <v>0</v>
      </c>
      <c r="L27" s="261"/>
      <c r="M27" s="262">
        <f t="shared" si="40"/>
        <v>0</v>
      </c>
      <c r="N27" s="261">
        <f t="shared" si="41"/>
        <v>0</v>
      </c>
      <c r="O27" s="262">
        <f t="shared" si="26"/>
        <v>0</v>
      </c>
      <c r="P27" s="262"/>
      <c r="Q27" s="265">
        <f t="shared" si="27"/>
        <v>0</v>
      </c>
      <c r="R27" s="261">
        <f t="shared" si="42"/>
        <v>0</v>
      </c>
      <c r="S27" s="261">
        <f t="shared" si="42"/>
        <v>0</v>
      </c>
      <c r="T27" s="336"/>
      <c r="U27" s="262">
        <v>149540.29</v>
      </c>
      <c r="V27" s="261">
        <f t="shared" si="43"/>
        <v>0</v>
      </c>
      <c r="W27" s="262">
        <f t="shared" si="29"/>
        <v>0</v>
      </c>
      <c r="X27" s="262"/>
      <c r="Y27" s="262">
        <f t="shared" si="30"/>
        <v>149540.29</v>
      </c>
      <c r="Z27" s="261">
        <f t="shared" si="44"/>
        <v>0</v>
      </c>
      <c r="AA27" s="262">
        <f t="shared" si="45"/>
        <v>0</v>
      </c>
      <c r="AB27" s="261"/>
      <c r="AC27" s="262">
        <f t="shared" si="31"/>
        <v>149540.29</v>
      </c>
      <c r="AD27" s="261">
        <v>149.54029</v>
      </c>
      <c r="AE27" s="262">
        <f t="shared" si="32"/>
        <v>149.54029</v>
      </c>
      <c r="AF27" s="262"/>
      <c r="AG27" s="262">
        <f t="shared" si="33"/>
        <v>149540.29</v>
      </c>
      <c r="AH27" s="261">
        <f t="shared" si="34"/>
        <v>0</v>
      </c>
      <c r="AI27" s="262">
        <f t="shared" si="35"/>
        <v>149.54029</v>
      </c>
      <c r="AJ27" s="262"/>
      <c r="AK27" s="262">
        <f t="shared" si="46"/>
        <v>149540.29</v>
      </c>
      <c r="AL27" s="261">
        <f t="shared" si="36"/>
        <v>0</v>
      </c>
      <c r="AM27" s="262">
        <f t="shared" si="37"/>
        <v>149.54029</v>
      </c>
    </row>
    <row r="28" spans="1:39" ht="15">
      <c r="A28" s="277" t="s">
        <v>631</v>
      </c>
      <c r="B28" s="262"/>
      <c r="C28" s="262">
        <v>18784034.8</v>
      </c>
      <c r="D28" s="262">
        <v>3930253.9</v>
      </c>
      <c r="E28" s="262">
        <f t="shared" si="24"/>
        <v>22714288.7</v>
      </c>
      <c r="F28" s="262">
        <f t="shared" si="38"/>
        <v>22714.2887</v>
      </c>
      <c r="G28" s="262"/>
      <c r="H28" s="262"/>
      <c r="I28" s="261">
        <f t="shared" si="39"/>
        <v>0</v>
      </c>
      <c r="J28" s="262">
        <f t="shared" si="25"/>
        <v>22714288.7</v>
      </c>
      <c r="K28" s="262">
        <f t="shared" si="25"/>
        <v>22714.2887</v>
      </c>
      <c r="L28" s="261"/>
      <c r="M28" s="262">
        <f t="shared" si="40"/>
        <v>22714288.7</v>
      </c>
      <c r="N28" s="261">
        <f t="shared" si="41"/>
        <v>0</v>
      </c>
      <c r="O28" s="262">
        <f t="shared" si="26"/>
        <v>22714.2887</v>
      </c>
      <c r="P28" s="262"/>
      <c r="Q28" s="265">
        <f t="shared" si="27"/>
        <v>22714288.7</v>
      </c>
      <c r="R28" s="261">
        <f t="shared" si="42"/>
        <v>0</v>
      </c>
      <c r="S28" s="261">
        <f t="shared" si="42"/>
        <v>22714.2887</v>
      </c>
      <c r="T28" s="262"/>
      <c r="U28" s="262">
        <f t="shared" si="28"/>
        <v>22714288.7</v>
      </c>
      <c r="V28" s="261">
        <f t="shared" si="43"/>
        <v>0</v>
      </c>
      <c r="W28" s="262">
        <f t="shared" si="29"/>
        <v>22714.2887</v>
      </c>
      <c r="X28" s="262">
        <v>1140295.18</v>
      </c>
      <c r="Y28" s="262">
        <f t="shared" si="30"/>
        <v>23854583.88</v>
      </c>
      <c r="Z28" s="261">
        <f t="shared" si="44"/>
        <v>1140.2951799999998</v>
      </c>
      <c r="AA28" s="262">
        <f t="shared" si="45"/>
        <v>23854.583880000002</v>
      </c>
      <c r="AB28" s="261"/>
      <c r="AC28" s="262">
        <f t="shared" si="31"/>
        <v>23854583.88</v>
      </c>
      <c r="AD28" s="261"/>
      <c r="AE28" s="262">
        <f t="shared" si="32"/>
        <v>23854.583880000002</v>
      </c>
      <c r="AF28" s="262">
        <v>118944</v>
      </c>
      <c r="AG28" s="262">
        <f t="shared" si="33"/>
        <v>23973527.88</v>
      </c>
      <c r="AH28" s="261">
        <f t="shared" si="34"/>
        <v>118.944</v>
      </c>
      <c r="AI28" s="262">
        <f t="shared" si="35"/>
        <v>23973.52788</v>
      </c>
      <c r="AJ28" s="262"/>
      <c r="AK28" s="262">
        <f t="shared" si="46"/>
        <v>23973527.88</v>
      </c>
      <c r="AL28" s="261">
        <f t="shared" si="36"/>
        <v>0</v>
      </c>
      <c r="AM28" s="262">
        <f t="shared" si="37"/>
        <v>23973.52788</v>
      </c>
    </row>
    <row r="29" spans="1:39" ht="15">
      <c r="A29" s="283" t="s">
        <v>632</v>
      </c>
      <c r="B29" s="262"/>
      <c r="C29" s="262"/>
      <c r="D29" s="262"/>
      <c r="E29" s="262">
        <f t="shared" si="24"/>
        <v>0</v>
      </c>
      <c r="F29" s="262">
        <f t="shared" si="38"/>
        <v>0</v>
      </c>
      <c r="G29" s="262"/>
      <c r="H29" s="262">
        <v>124152</v>
      </c>
      <c r="I29" s="261">
        <f t="shared" si="39"/>
        <v>124.152</v>
      </c>
      <c r="J29" s="262">
        <f t="shared" si="25"/>
        <v>124152</v>
      </c>
      <c r="K29" s="262">
        <f t="shared" si="25"/>
        <v>124.152</v>
      </c>
      <c r="L29" s="261"/>
      <c r="M29" s="262">
        <f t="shared" si="40"/>
        <v>124152</v>
      </c>
      <c r="N29" s="261">
        <f t="shared" si="41"/>
        <v>0</v>
      </c>
      <c r="O29" s="262">
        <f t="shared" si="26"/>
        <v>124.152</v>
      </c>
      <c r="P29" s="262"/>
      <c r="Q29" s="265">
        <f t="shared" si="27"/>
        <v>124152</v>
      </c>
      <c r="R29" s="261">
        <f t="shared" si="42"/>
        <v>0</v>
      </c>
      <c r="S29" s="261">
        <f t="shared" si="42"/>
        <v>124.152</v>
      </c>
      <c r="T29" s="262"/>
      <c r="U29" s="262">
        <f t="shared" si="28"/>
        <v>124152</v>
      </c>
      <c r="V29" s="261">
        <f t="shared" si="43"/>
        <v>0</v>
      </c>
      <c r="W29" s="262">
        <f t="shared" si="29"/>
        <v>124.152</v>
      </c>
      <c r="X29" s="262"/>
      <c r="Y29" s="262">
        <f t="shared" si="30"/>
        <v>124152</v>
      </c>
      <c r="Z29" s="261">
        <f t="shared" si="44"/>
        <v>0</v>
      </c>
      <c r="AA29" s="262">
        <f t="shared" si="45"/>
        <v>124.152</v>
      </c>
      <c r="AB29" s="261"/>
      <c r="AC29" s="262">
        <f t="shared" si="31"/>
        <v>124152</v>
      </c>
      <c r="AD29" s="261"/>
      <c r="AE29" s="262">
        <f t="shared" si="32"/>
        <v>124.152</v>
      </c>
      <c r="AF29" s="262"/>
      <c r="AG29" s="262">
        <f t="shared" si="33"/>
        <v>124152</v>
      </c>
      <c r="AH29" s="261">
        <f t="shared" si="34"/>
        <v>0</v>
      </c>
      <c r="AI29" s="262">
        <f t="shared" si="35"/>
        <v>124.152</v>
      </c>
      <c r="AJ29" s="262"/>
      <c r="AK29" s="262">
        <f t="shared" si="46"/>
        <v>124152</v>
      </c>
      <c r="AL29" s="261">
        <f t="shared" si="36"/>
        <v>0</v>
      </c>
      <c r="AM29" s="262">
        <f t="shared" si="37"/>
        <v>124.152</v>
      </c>
    </row>
    <row r="30" spans="1:39" ht="15">
      <c r="A30" s="284" t="s">
        <v>633</v>
      </c>
      <c r="B30" s="262"/>
      <c r="C30" s="262"/>
      <c r="D30" s="262"/>
      <c r="E30" s="262"/>
      <c r="F30" s="262"/>
      <c r="G30" s="262"/>
      <c r="H30" s="262"/>
      <c r="I30" s="261"/>
      <c r="J30" s="262"/>
      <c r="K30" s="262"/>
      <c r="L30" s="261">
        <v>230208.33</v>
      </c>
      <c r="M30" s="262">
        <f t="shared" si="40"/>
        <v>230208.33</v>
      </c>
      <c r="N30" s="261">
        <f t="shared" si="41"/>
        <v>230.20833</v>
      </c>
      <c r="O30" s="262">
        <f t="shared" si="26"/>
        <v>230.20833</v>
      </c>
      <c r="P30" s="262">
        <v>644583.34</v>
      </c>
      <c r="Q30" s="265">
        <f t="shared" si="27"/>
        <v>874791.6699999999</v>
      </c>
      <c r="R30" s="261">
        <f t="shared" si="42"/>
        <v>644.58334</v>
      </c>
      <c r="S30" s="261">
        <f t="shared" si="42"/>
        <v>874.79167</v>
      </c>
      <c r="T30" s="261"/>
      <c r="U30" s="262">
        <f t="shared" si="28"/>
        <v>874791.6699999999</v>
      </c>
      <c r="V30" s="261">
        <f t="shared" si="43"/>
        <v>0</v>
      </c>
      <c r="W30" s="262">
        <f t="shared" si="29"/>
        <v>874.79167</v>
      </c>
      <c r="X30" s="262">
        <v>2054654.15</v>
      </c>
      <c r="Y30" s="262">
        <f t="shared" si="30"/>
        <v>2929445.82</v>
      </c>
      <c r="Z30" s="261">
        <f t="shared" si="44"/>
        <v>2054.65415</v>
      </c>
      <c r="AA30" s="262">
        <f t="shared" si="45"/>
        <v>2929.44582</v>
      </c>
      <c r="AB30" s="262">
        <v>2284261.69</v>
      </c>
      <c r="AC30" s="262">
        <f t="shared" si="31"/>
        <v>5213707.51</v>
      </c>
      <c r="AD30" s="261">
        <f>AB30/1000</f>
        <v>2284.26169</v>
      </c>
      <c r="AE30" s="262">
        <f t="shared" si="32"/>
        <v>5213.70751</v>
      </c>
      <c r="AF30" s="262">
        <v>12478230.76</v>
      </c>
      <c r="AG30" s="262">
        <f t="shared" si="33"/>
        <v>17691938.27</v>
      </c>
      <c r="AH30" s="261">
        <f t="shared" si="34"/>
        <v>12478.23076</v>
      </c>
      <c r="AI30" s="262">
        <f t="shared" si="35"/>
        <v>17691.93827</v>
      </c>
      <c r="AJ30" s="262">
        <v>6425974.69</v>
      </c>
      <c r="AK30" s="262">
        <f t="shared" si="46"/>
        <v>24117912.96</v>
      </c>
      <c r="AL30" s="261">
        <f t="shared" si="36"/>
        <v>6425.97469</v>
      </c>
      <c r="AM30" s="262">
        <f t="shared" si="37"/>
        <v>24117.912959999998</v>
      </c>
    </row>
    <row r="31" spans="1:40" ht="15">
      <c r="A31" s="284" t="s">
        <v>681</v>
      </c>
      <c r="B31" s="262"/>
      <c r="C31" s="262"/>
      <c r="D31" s="262"/>
      <c r="E31" s="262"/>
      <c r="F31" s="262"/>
      <c r="G31" s="262"/>
      <c r="H31" s="262"/>
      <c r="I31" s="261"/>
      <c r="J31" s="262"/>
      <c r="K31" s="262"/>
      <c r="L31" s="261"/>
      <c r="M31" s="262"/>
      <c r="N31" s="261"/>
      <c r="O31" s="262"/>
      <c r="P31" s="262"/>
      <c r="Q31" s="265"/>
      <c r="R31" s="261"/>
      <c r="S31" s="261"/>
      <c r="T31" s="261"/>
      <c r="U31" s="262"/>
      <c r="V31" s="261"/>
      <c r="W31" s="262"/>
      <c r="X31" s="262"/>
      <c r="Y31" s="262"/>
      <c r="Z31" s="261"/>
      <c r="AA31" s="262"/>
      <c r="AB31" s="262"/>
      <c r="AC31" s="262"/>
      <c r="AD31" s="261"/>
      <c r="AE31" s="262"/>
      <c r="AF31" s="262">
        <v>2243978.48</v>
      </c>
      <c r="AG31" s="262">
        <f t="shared" si="33"/>
        <v>2243978.48</v>
      </c>
      <c r="AH31" s="261">
        <f t="shared" si="34"/>
        <v>2243.9784799999998</v>
      </c>
      <c r="AI31" s="262">
        <f t="shared" si="35"/>
        <v>2243.9784799999998</v>
      </c>
      <c r="AJ31" s="262"/>
      <c r="AK31" s="262">
        <f t="shared" si="46"/>
        <v>2243978.48</v>
      </c>
      <c r="AL31" s="261">
        <f t="shared" si="36"/>
        <v>0</v>
      </c>
      <c r="AM31" s="262">
        <f t="shared" si="37"/>
        <v>2243.9784799999998</v>
      </c>
      <c r="AN31" s="51"/>
    </row>
    <row r="32" spans="1:39" ht="16.5" thickBot="1">
      <c r="A32" s="285" t="s">
        <v>634</v>
      </c>
      <c r="B32" s="269">
        <f>SUM(B20:B29)</f>
        <v>2544354.45</v>
      </c>
      <c r="C32" s="269">
        <f>SUM(C20:C29)</f>
        <v>22327152.21</v>
      </c>
      <c r="D32" s="269">
        <f>SUM(D20:D29)</f>
        <v>24519741.259999998</v>
      </c>
      <c r="E32" s="269">
        <f>SUM(E20:E29)</f>
        <v>49391247.92</v>
      </c>
      <c r="F32" s="269">
        <f>SUM(F20:F29)</f>
        <v>49391.24792</v>
      </c>
      <c r="G32" s="269"/>
      <c r="H32" s="269">
        <f>SUM(H20:H29)</f>
        <v>4280442.06</v>
      </c>
      <c r="I32" s="272">
        <f>SUM(I20:I29)</f>
        <v>4280.442059999999</v>
      </c>
      <c r="J32" s="269">
        <f>SUM(J20:J29)</f>
        <v>53671689.980000004</v>
      </c>
      <c r="K32" s="269">
        <f>SUM(K20:K29)</f>
        <v>53671.68998</v>
      </c>
      <c r="L32" s="269">
        <f aca="true" t="shared" si="47" ref="L32:AD32">SUM(L20:L30)</f>
        <v>4190754.16</v>
      </c>
      <c r="M32" s="269">
        <f t="shared" si="47"/>
        <v>57862444.14</v>
      </c>
      <c r="N32" s="272">
        <f t="shared" si="47"/>
        <v>4190.75416</v>
      </c>
      <c r="O32" s="269">
        <f t="shared" si="47"/>
        <v>57862.44414</v>
      </c>
      <c r="P32" s="270">
        <f t="shared" si="47"/>
        <v>22132641.48</v>
      </c>
      <c r="Q32" s="271">
        <f t="shared" si="47"/>
        <v>79995085.62</v>
      </c>
      <c r="R32" s="270">
        <f t="shared" si="47"/>
        <v>22132.641480000002</v>
      </c>
      <c r="S32" s="269">
        <f t="shared" si="47"/>
        <v>79995.08562000001</v>
      </c>
      <c r="T32" s="269">
        <f t="shared" si="47"/>
        <v>5372648.210000001</v>
      </c>
      <c r="U32" s="269">
        <f t="shared" si="47"/>
        <v>85517274.12</v>
      </c>
      <c r="V32" s="272">
        <f t="shared" si="47"/>
        <v>5372.64821</v>
      </c>
      <c r="W32" s="269">
        <f t="shared" si="47"/>
        <v>85367.73383000001</v>
      </c>
      <c r="X32" s="269">
        <f t="shared" si="47"/>
        <v>7317545.629999999</v>
      </c>
      <c r="Y32" s="269">
        <f t="shared" si="47"/>
        <v>92834819.75</v>
      </c>
      <c r="Z32" s="272">
        <f t="shared" si="47"/>
        <v>7317.5456300000005</v>
      </c>
      <c r="AA32" s="269">
        <f t="shared" si="47"/>
        <v>92685.27946</v>
      </c>
      <c r="AB32" s="269">
        <f t="shared" si="47"/>
        <v>22790648.78</v>
      </c>
      <c r="AC32" s="269">
        <f t="shared" si="47"/>
        <v>115625468.53</v>
      </c>
      <c r="AD32" s="269">
        <f t="shared" si="47"/>
        <v>22940.18907</v>
      </c>
      <c r="AE32" s="269">
        <f>SUM(AE20:AE30)</f>
        <v>115625.46853000001</v>
      </c>
      <c r="AF32" s="269">
        <f aca="true" t="shared" si="48" ref="AF32:AM32">SUM(AF20:AF31)</f>
        <v>19299838.900000002</v>
      </c>
      <c r="AG32" s="269">
        <f t="shared" si="48"/>
        <v>134925307.43</v>
      </c>
      <c r="AH32" s="272">
        <f t="shared" si="48"/>
        <v>19299.838900000002</v>
      </c>
      <c r="AI32" s="269">
        <f t="shared" si="48"/>
        <v>134925.30743</v>
      </c>
      <c r="AJ32" s="269">
        <f t="shared" si="48"/>
        <v>10101039.14</v>
      </c>
      <c r="AK32" s="269">
        <f t="shared" si="48"/>
        <v>145026346.57</v>
      </c>
      <c r="AL32" s="272">
        <f t="shared" si="48"/>
        <v>10101.03914</v>
      </c>
      <c r="AM32" s="269">
        <f t="shared" si="48"/>
        <v>145026.34657</v>
      </c>
    </row>
    <row r="33" spans="1:39" ht="15">
      <c r="A33" s="282"/>
      <c r="B33" s="261"/>
      <c r="C33" s="261"/>
      <c r="D33" s="261"/>
      <c r="E33" s="262">
        <f>E32-E22</f>
        <v>47249130.43</v>
      </c>
      <c r="F33" s="261"/>
      <c r="G33" s="262"/>
      <c r="H33" s="261"/>
      <c r="I33" s="261"/>
      <c r="J33" s="261"/>
      <c r="K33" s="261"/>
      <c r="L33" s="261"/>
      <c r="M33" s="261"/>
      <c r="N33" s="261"/>
      <c r="O33" s="261"/>
      <c r="P33" s="261"/>
      <c r="Q33" s="263"/>
      <c r="R33" s="261"/>
      <c r="S33" s="261"/>
      <c r="T33" s="261"/>
      <c r="U33" s="261"/>
      <c r="V33" s="261"/>
      <c r="W33" s="261"/>
      <c r="X33" s="262"/>
      <c r="Y33" s="261"/>
      <c r="Z33" s="261"/>
      <c r="AA33" s="261"/>
      <c r="AB33" s="261"/>
      <c r="AC33" s="261"/>
      <c r="AD33" s="261"/>
      <c r="AE33" s="261"/>
      <c r="AF33" s="262"/>
      <c r="AG33" s="261"/>
      <c r="AH33" s="261"/>
      <c r="AI33" s="261"/>
      <c r="AJ33" s="262"/>
      <c r="AK33" s="261"/>
      <c r="AL33" s="261"/>
      <c r="AM33" s="261"/>
    </row>
    <row r="34" spans="1:39" ht="15.75">
      <c r="A34" s="286" t="s">
        <v>635</v>
      </c>
      <c r="B34" s="261"/>
      <c r="C34" s="261"/>
      <c r="D34" s="261"/>
      <c r="E34" s="261"/>
      <c r="F34" s="261"/>
      <c r="G34" s="262"/>
      <c r="H34" s="262"/>
      <c r="I34" s="261"/>
      <c r="J34" s="261"/>
      <c r="K34" s="261"/>
      <c r="L34" s="261"/>
      <c r="M34" s="261"/>
      <c r="N34" s="261"/>
      <c r="O34" s="261"/>
      <c r="P34" s="261"/>
      <c r="Q34" s="263"/>
      <c r="R34" s="261"/>
      <c r="S34" s="261"/>
      <c r="T34" s="261"/>
      <c r="U34" s="261"/>
      <c r="V34" s="261"/>
      <c r="W34" s="261"/>
      <c r="X34" s="262"/>
      <c r="Y34" s="261"/>
      <c r="Z34" s="261"/>
      <c r="AA34" s="261"/>
      <c r="AB34" s="261"/>
      <c r="AC34" s="261"/>
      <c r="AD34" s="261"/>
      <c r="AE34" s="261"/>
      <c r="AF34" s="262"/>
      <c r="AG34" s="261"/>
      <c r="AH34" s="261"/>
      <c r="AI34" s="261"/>
      <c r="AJ34" s="262"/>
      <c r="AK34" s="261"/>
      <c r="AL34" s="261"/>
      <c r="AM34" s="261"/>
    </row>
    <row r="35" spans="1:39" ht="15">
      <c r="A35" s="283" t="s">
        <v>636</v>
      </c>
      <c r="B35" s="262"/>
      <c r="C35" s="262"/>
      <c r="D35" s="262"/>
      <c r="E35" s="262">
        <f>B35+C35+D35</f>
        <v>0</v>
      </c>
      <c r="F35" s="262"/>
      <c r="G35" s="262"/>
      <c r="H35" s="261"/>
      <c r="I35" s="261">
        <f>H35/1000</f>
        <v>0</v>
      </c>
      <c r="J35" s="262">
        <f aca="true" t="shared" si="49" ref="J35:K38">E35+H35</f>
        <v>0</v>
      </c>
      <c r="K35" s="262">
        <f>F35+I35</f>
        <v>0</v>
      </c>
      <c r="L35" s="261">
        <v>27350.38</v>
      </c>
      <c r="M35" s="262">
        <f>J35+L35</f>
        <v>27350.38</v>
      </c>
      <c r="N35" s="261">
        <f>L35/1000</f>
        <v>27.35038</v>
      </c>
      <c r="O35" s="262">
        <f>K35+N35</f>
        <v>27.35038</v>
      </c>
      <c r="P35" s="261">
        <v>100</v>
      </c>
      <c r="Q35" s="265">
        <f>M35+P35</f>
        <v>27450.38</v>
      </c>
      <c r="R35" s="261">
        <f>P35/1000</f>
        <v>0.1</v>
      </c>
      <c r="S35" s="262">
        <f>O35+R35</f>
        <v>27.450380000000003</v>
      </c>
      <c r="T35" s="261">
        <v>5737</v>
      </c>
      <c r="U35" s="262">
        <f>Q35+T35</f>
        <v>33187.380000000005</v>
      </c>
      <c r="V35" s="261">
        <f>T35/1000</f>
        <v>5.737</v>
      </c>
      <c r="W35" s="262">
        <f>S35+V35</f>
        <v>33.187380000000005</v>
      </c>
      <c r="X35" s="262">
        <v>12459.04</v>
      </c>
      <c r="Y35" s="262">
        <f>U35+X35</f>
        <v>45646.420000000006</v>
      </c>
      <c r="Z35" s="261">
        <f>X35/1000</f>
        <v>12.459040000000002</v>
      </c>
      <c r="AA35" s="262">
        <f>W35+Z35</f>
        <v>45.646420000000006</v>
      </c>
      <c r="AB35" s="261">
        <v>42970</v>
      </c>
      <c r="AC35" s="262">
        <f>Y35+AB35</f>
        <v>88616.42000000001</v>
      </c>
      <c r="AD35" s="261">
        <f>AB35/1000</f>
        <v>42.97</v>
      </c>
      <c r="AE35" s="262">
        <f>AA35+AD35</f>
        <v>88.61642</v>
      </c>
      <c r="AF35" s="262">
        <v>1000</v>
      </c>
      <c r="AG35" s="262">
        <f>AC35+AF35</f>
        <v>89616.42000000001</v>
      </c>
      <c r="AH35" s="261">
        <f>AF35/1000</f>
        <v>1</v>
      </c>
      <c r="AI35" s="262">
        <f>AE35+AH35</f>
        <v>89.61642</v>
      </c>
      <c r="AJ35" s="262">
        <v>400</v>
      </c>
      <c r="AK35" s="262">
        <f>AG35+AJ35</f>
        <v>90016.42000000001</v>
      </c>
      <c r="AL35" s="261">
        <f>AJ35/1000</f>
        <v>0.4</v>
      </c>
      <c r="AM35" s="262">
        <f>AI35+AL35</f>
        <v>90.01642000000001</v>
      </c>
    </row>
    <row r="36" spans="1:39" ht="15">
      <c r="A36" s="283" t="s">
        <v>637</v>
      </c>
      <c r="B36" s="262"/>
      <c r="C36" s="262"/>
      <c r="D36" s="262"/>
      <c r="E36" s="262">
        <f>B36+C36+D36</f>
        <v>0</v>
      </c>
      <c r="F36" s="262"/>
      <c r="G36" s="262"/>
      <c r="H36" s="261"/>
      <c r="I36" s="261">
        <f>H36/1000</f>
        <v>0</v>
      </c>
      <c r="J36" s="262">
        <f t="shared" si="49"/>
        <v>0</v>
      </c>
      <c r="K36" s="262">
        <f t="shared" si="49"/>
        <v>0</v>
      </c>
      <c r="L36" s="261"/>
      <c r="M36" s="261"/>
      <c r="N36" s="261">
        <f>L36/1000</f>
        <v>0</v>
      </c>
      <c r="O36" s="262">
        <f>K36+N36</f>
        <v>0</v>
      </c>
      <c r="P36" s="261"/>
      <c r="Q36" s="265">
        <f>M36+P36</f>
        <v>0</v>
      </c>
      <c r="R36" s="261">
        <f>P36/1000</f>
        <v>0</v>
      </c>
      <c r="S36" s="262">
        <f>O36+R36</f>
        <v>0</v>
      </c>
      <c r="T36" s="261"/>
      <c r="U36" s="262">
        <f>Q36+T36</f>
        <v>0</v>
      </c>
      <c r="V36" s="261">
        <f>T36/1000</f>
        <v>0</v>
      </c>
      <c r="W36" s="262">
        <f>S36+V36</f>
        <v>0</v>
      </c>
      <c r="X36" s="262"/>
      <c r="Y36" s="262">
        <f>U36+X36</f>
        <v>0</v>
      </c>
      <c r="Z36" s="261">
        <f>X36/1000</f>
        <v>0</v>
      </c>
      <c r="AA36" s="262">
        <f>W36+Z36</f>
        <v>0</v>
      </c>
      <c r="AB36" s="261"/>
      <c r="AC36" s="262">
        <f>Y36+AB36</f>
        <v>0</v>
      </c>
      <c r="AD36" s="261"/>
      <c r="AE36" s="262">
        <f>AA36+AD36</f>
        <v>0</v>
      </c>
      <c r="AF36" s="262"/>
      <c r="AG36" s="262">
        <f>AC36+AF36</f>
        <v>0</v>
      </c>
      <c r="AH36" s="261">
        <f>AF36/1000</f>
        <v>0</v>
      </c>
      <c r="AI36" s="262">
        <f>AE36+AH36</f>
        <v>0</v>
      </c>
      <c r="AJ36" s="262"/>
      <c r="AK36" s="262">
        <f>AG36+AJ36</f>
        <v>0</v>
      </c>
      <c r="AL36" s="261">
        <f>AJ36/1000</f>
        <v>0</v>
      </c>
      <c r="AM36" s="262">
        <f>AI36+AL36</f>
        <v>0</v>
      </c>
    </row>
    <row r="37" spans="1:39" ht="30">
      <c r="A37" s="283" t="s">
        <v>638</v>
      </c>
      <c r="B37" s="262">
        <v>1980323.4</v>
      </c>
      <c r="C37" s="262"/>
      <c r="D37" s="262"/>
      <c r="E37" s="262">
        <f>B37+C37+D37</f>
        <v>1980323.4</v>
      </c>
      <c r="F37" s="262">
        <f>2491989.8/1000</f>
        <v>2491.9898</v>
      </c>
      <c r="G37" s="262"/>
      <c r="H37" s="262"/>
      <c r="I37" s="261">
        <f>H37/1000</f>
        <v>0</v>
      </c>
      <c r="J37" s="262">
        <f t="shared" si="49"/>
        <v>1980323.4</v>
      </c>
      <c r="K37" s="262">
        <f t="shared" si="49"/>
        <v>2491.9898</v>
      </c>
      <c r="L37" s="261"/>
      <c r="M37" s="262">
        <f>J37+L37</f>
        <v>1980323.4</v>
      </c>
      <c r="N37" s="261">
        <f>L37/1000</f>
        <v>0</v>
      </c>
      <c r="O37" s="262">
        <f>K37+N37</f>
        <v>2491.9898</v>
      </c>
      <c r="P37" s="261"/>
      <c r="Q37" s="265">
        <f>M37+P37</f>
        <v>1980323.4</v>
      </c>
      <c r="R37" s="261">
        <f>P37/1000</f>
        <v>0</v>
      </c>
      <c r="S37" s="262">
        <f>O37+R37</f>
        <v>2491.9898</v>
      </c>
      <c r="T37" s="262"/>
      <c r="U37" s="262">
        <f>Q37+T37</f>
        <v>1980323.4</v>
      </c>
      <c r="V37" s="261">
        <f>T37/1000</f>
        <v>0</v>
      </c>
      <c r="W37" s="262">
        <f>S37+V37</f>
        <v>2491.9898</v>
      </c>
      <c r="X37" s="262"/>
      <c r="Y37" s="262">
        <f>U37+X37</f>
        <v>1980323.4</v>
      </c>
      <c r="Z37" s="261">
        <f>X37/1000</f>
        <v>0</v>
      </c>
      <c r="AA37" s="262">
        <f>W37+Z37</f>
        <v>2491.9898</v>
      </c>
      <c r="AB37" s="261"/>
      <c r="AC37" s="262">
        <f>Y37+AB37</f>
        <v>1980323.4</v>
      </c>
      <c r="AD37" s="261"/>
      <c r="AE37" s="262">
        <f>AA37+AD37</f>
        <v>2491.9898</v>
      </c>
      <c r="AF37" s="262"/>
      <c r="AG37" s="262">
        <f>AC37+AF37</f>
        <v>1980323.4</v>
      </c>
      <c r="AH37" s="261">
        <f>AF37/1000</f>
        <v>0</v>
      </c>
      <c r="AI37" s="262">
        <f>AE37+AH37</f>
        <v>2491.9898</v>
      </c>
      <c r="AJ37" s="262"/>
      <c r="AK37" s="262">
        <f>AG37+AJ37</f>
        <v>1980323.4</v>
      </c>
      <c r="AL37" s="261">
        <f>AJ37/1000</f>
        <v>0</v>
      </c>
      <c r="AM37" s="262">
        <f>AI37+AL37</f>
        <v>2491.9898</v>
      </c>
    </row>
    <row r="38" spans="1:39" ht="30">
      <c r="A38" s="287" t="s">
        <v>639</v>
      </c>
      <c r="B38" s="262"/>
      <c r="C38" s="262"/>
      <c r="D38" s="262"/>
      <c r="E38" s="262">
        <f>B38+C38+D38</f>
        <v>0</v>
      </c>
      <c r="F38" s="262"/>
      <c r="G38" s="262"/>
      <c r="H38" s="262"/>
      <c r="I38" s="261">
        <f>H38/1000</f>
        <v>0</v>
      </c>
      <c r="J38" s="262">
        <f t="shared" si="49"/>
        <v>0</v>
      </c>
      <c r="K38" s="262">
        <f t="shared" si="49"/>
        <v>0</v>
      </c>
      <c r="L38" s="261"/>
      <c r="M38" s="261"/>
      <c r="N38" s="261">
        <f>L38/1000</f>
        <v>0</v>
      </c>
      <c r="O38" s="262">
        <f>K38+N38</f>
        <v>0</v>
      </c>
      <c r="P38" s="261"/>
      <c r="Q38" s="265">
        <f>M38+P38</f>
        <v>0</v>
      </c>
      <c r="R38" s="261">
        <f>P38/1000</f>
        <v>0</v>
      </c>
      <c r="S38" s="262">
        <f>O38+R38</f>
        <v>0</v>
      </c>
      <c r="T38" s="261"/>
      <c r="U38" s="262">
        <f>Q38+T38</f>
        <v>0</v>
      </c>
      <c r="V38" s="261">
        <f>T38/1000</f>
        <v>0</v>
      </c>
      <c r="W38" s="262">
        <f>S38+V38</f>
        <v>0</v>
      </c>
      <c r="X38" s="262"/>
      <c r="Y38" s="262">
        <f>U38+X38</f>
        <v>0</v>
      </c>
      <c r="Z38" s="261">
        <f>X38/1000</f>
        <v>0</v>
      </c>
      <c r="AA38" s="262">
        <f>W38+Z38</f>
        <v>0</v>
      </c>
      <c r="AB38" s="261"/>
      <c r="AC38" s="262">
        <f>Y38+AB38</f>
        <v>0</v>
      </c>
      <c r="AD38" s="261"/>
      <c r="AE38" s="262">
        <f>AA38+AD38</f>
        <v>0</v>
      </c>
      <c r="AF38" s="262"/>
      <c r="AG38" s="262">
        <f>AC38+AF38</f>
        <v>0</v>
      </c>
      <c r="AH38" s="261">
        <f>AF38/1000</f>
        <v>0</v>
      </c>
      <c r="AI38" s="262">
        <f>AE38+AH38</f>
        <v>0</v>
      </c>
      <c r="AJ38" s="262"/>
      <c r="AK38" s="262">
        <f>AG38+AJ38</f>
        <v>0</v>
      </c>
      <c r="AL38" s="261">
        <f>AJ38/1000</f>
        <v>0</v>
      </c>
      <c r="AM38" s="262">
        <f>AI38+AL38</f>
        <v>0</v>
      </c>
    </row>
    <row r="39" spans="1:39" ht="15">
      <c r="A39" s="277" t="s">
        <v>619</v>
      </c>
      <c r="B39" s="262"/>
      <c r="C39" s="262"/>
      <c r="D39" s="262"/>
      <c r="E39" s="262"/>
      <c r="F39" s="262"/>
      <c r="G39" s="262"/>
      <c r="H39" s="262"/>
      <c r="I39" s="261"/>
      <c r="J39" s="261"/>
      <c r="K39" s="261"/>
      <c r="L39" s="261"/>
      <c r="M39" s="262">
        <f>J39+L39</f>
        <v>0</v>
      </c>
      <c r="N39" s="261">
        <f>L39/1000</f>
        <v>0</v>
      </c>
      <c r="O39" s="262">
        <f>K39+N39</f>
        <v>0</v>
      </c>
      <c r="P39" s="262">
        <v>-149540.29</v>
      </c>
      <c r="Q39" s="265">
        <f>M39+P39</f>
        <v>-149540.29</v>
      </c>
      <c r="R39" s="261">
        <f>P39/1000</f>
        <v>-149.54029</v>
      </c>
      <c r="S39" s="262">
        <f>O39+R39</f>
        <v>-149.54029</v>
      </c>
      <c r="T39" s="261"/>
      <c r="U39" s="262"/>
      <c r="V39" s="261">
        <f>T39/1000</f>
        <v>0</v>
      </c>
      <c r="W39" s="262">
        <f>S39+V39</f>
        <v>-149.54029</v>
      </c>
      <c r="X39" s="262"/>
      <c r="Y39" s="262">
        <f>U39+X39</f>
        <v>0</v>
      </c>
      <c r="Z39" s="261">
        <f>X39/1000</f>
        <v>0</v>
      </c>
      <c r="AA39" s="262"/>
      <c r="AB39" s="261">
        <v>1447631.99</v>
      </c>
      <c r="AC39" s="262">
        <f>Y39+AB39</f>
        <v>1447631.99</v>
      </c>
      <c r="AD39" s="261">
        <f>AB39/1000</f>
        <v>1447.63199</v>
      </c>
      <c r="AE39" s="262">
        <f>AA39+AD39</f>
        <v>1447.63199</v>
      </c>
      <c r="AF39" s="262"/>
      <c r="AG39" s="262">
        <f>AC39+AF39</f>
        <v>1447631.99</v>
      </c>
      <c r="AH39" s="261">
        <f>AF39/1000</f>
        <v>0</v>
      </c>
      <c r="AI39" s="262">
        <f>AE39+AH39</f>
        <v>1447.63199</v>
      </c>
      <c r="AJ39" s="262"/>
      <c r="AK39" s="262">
        <f>AG39+AJ39</f>
        <v>1447631.99</v>
      </c>
      <c r="AL39" s="261">
        <f>AJ39/1000</f>
        <v>0</v>
      </c>
      <c r="AM39" s="262">
        <f>AI39+AL39</f>
        <v>1447.63199</v>
      </c>
    </row>
    <row r="40" spans="1:39" ht="16.5" thickBot="1">
      <c r="A40" s="285" t="s">
        <v>634</v>
      </c>
      <c r="B40" s="269">
        <f>SUM(B35:B38)</f>
        <v>1980323.4</v>
      </c>
      <c r="C40" s="269">
        <f>SUM(C35:C38)</f>
        <v>0</v>
      </c>
      <c r="D40" s="269">
        <f>SUM(D35:D38)</f>
        <v>0</v>
      </c>
      <c r="E40" s="269">
        <f>SUM(E35:E38)</f>
        <v>1980323.4</v>
      </c>
      <c r="F40" s="269">
        <f>SUM(F35:F38)</f>
        <v>2491.9898</v>
      </c>
      <c r="G40" s="269"/>
      <c r="H40" s="269">
        <f aca="true" t="shared" si="50" ref="H40:Z40">SUM(H35:H38)</f>
        <v>0</v>
      </c>
      <c r="I40" s="272">
        <f t="shared" si="50"/>
        <v>0</v>
      </c>
      <c r="J40" s="269">
        <f t="shared" si="50"/>
        <v>1980323.4</v>
      </c>
      <c r="K40" s="269">
        <f t="shared" si="50"/>
        <v>2491.9898</v>
      </c>
      <c r="L40" s="272">
        <f t="shared" si="50"/>
        <v>27350.38</v>
      </c>
      <c r="M40" s="269">
        <f t="shared" si="50"/>
        <v>2007673.7799999998</v>
      </c>
      <c r="N40" s="272">
        <f t="shared" si="50"/>
        <v>27.35038</v>
      </c>
      <c r="O40" s="269">
        <f t="shared" si="50"/>
        <v>2519.3401799999997</v>
      </c>
      <c r="P40" s="288">
        <f>SUM(P35:P39)</f>
        <v>-149440.29</v>
      </c>
      <c r="Q40" s="271">
        <f>SUM(Q35:Q39)</f>
        <v>1858233.4899999998</v>
      </c>
      <c r="R40" s="288">
        <f>SUM(R35:R39)</f>
        <v>-149.44029</v>
      </c>
      <c r="S40" s="269">
        <f>SUM(S35:S39)</f>
        <v>2369.89989</v>
      </c>
      <c r="T40" s="269">
        <f t="shared" si="50"/>
        <v>5737</v>
      </c>
      <c r="U40" s="269">
        <f>SUM(U35:U39)</f>
        <v>2013510.7799999998</v>
      </c>
      <c r="V40" s="272">
        <f t="shared" si="50"/>
        <v>5.737</v>
      </c>
      <c r="W40" s="269">
        <f>SUM(W35:W39)</f>
        <v>2375.6368899999998</v>
      </c>
      <c r="X40" s="269">
        <f t="shared" si="50"/>
        <v>12459.04</v>
      </c>
      <c r="Y40" s="269">
        <f>SUM(Y35:Y39)</f>
        <v>2025969.8199999998</v>
      </c>
      <c r="Z40" s="272">
        <f t="shared" si="50"/>
        <v>12.459040000000002</v>
      </c>
      <c r="AA40" s="269">
        <f aca="true" t="shared" si="51" ref="AA40:AM40">SUM(AA35:AA39)</f>
        <v>2537.63622</v>
      </c>
      <c r="AB40" s="272">
        <f t="shared" si="51"/>
        <v>1490601.99</v>
      </c>
      <c r="AC40" s="269">
        <f t="shared" si="51"/>
        <v>3516571.8099999996</v>
      </c>
      <c r="AD40" s="272">
        <f t="shared" si="51"/>
        <v>1490.6019900000001</v>
      </c>
      <c r="AE40" s="269">
        <f t="shared" si="51"/>
        <v>4028.2382099999995</v>
      </c>
      <c r="AF40" s="269">
        <f t="shared" si="51"/>
        <v>1000</v>
      </c>
      <c r="AG40" s="269">
        <f t="shared" si="51"/>
        <v>3517571.8099999996</v>
      </c>
      <c r="AH40" s="272">
        <f t="shared" si="51"/>
        <v>1</v>
      </c>
      <c r="AI40" s="269">
        <f t="shared" si="51"/>
        <v>4029.2382099999995</v>
      </c>
      <c r="AJ40" s="269">
        <f t="shared" si="51"/>
        <v>400</v>
      </c>
      <c r="AK40" s="269">
        <f t="shared" si="51"/>
        <v>3517971.8099999996</v>
      </c>
      <c r="AL40" s="272">
        <f t="shared" si="51"/>
        <v>0.4</v>
      </c>
      <c r="AM40" s="269">
        <f t="shared" si="51"/>
        <v>4029.63821</v>
      </c>
    </row>
    <row r="41" spans="1:39" ht="15">
      <c r="A41" s="260"/>
      <c r="B41" s="261"/>
      <c r="C41" s="261"/>
      <c r="D41" s="261"/>
      <c r="E41" s="261"/>
      <c r="F41" s="261"/>
      <c r="G41" s="262"/>
      <c r="H41" s="262"/>
      <c r="I41" s="261"/>
      <c r="J41" s="261"/>
      <c r="K41" s="261"/>
      <c r="L41" s="261"/>
      <c r="M41" s="261"/>
      <c r="N41" s="261"/>
      <c r="O41" s="261"/>
      <c r="P41" s="261"/>
      <c r="Q41" s="263"/>
      <c r="R41" s="261"/>
      <c r="S41" s="261"/>
      <c r="T41" s="261"/>
      <c r="U41" s="261"/>
      <c r="V41" s="261"/>
      <c r="W41" s="261"/>
      <c r="X41" s="262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</row>
    <row r="42" spans="1:39" ht="33" customHeight="1">
      <c r="A42" s="286" t="s">
        <v>640</v>
      </c>
      <c r="B42" s="269"/>
      <c r="C42" s="269"/>
      <c r="D42" s="269"/>
      <c r="E42" s="269"/>
      <c r="F42" s="269"/>
      <c r="G42" s="269"/>
      <c r="H42" s="262"/>
      <c r="I42" s="261"/>
      <c r="J42" s="261"/>
      <c r="K42" s="261"/>
      <c r="L42" s="261"/>
      <c r="M42" s="261"/>
      <c r="N42" s="261"/>
      <c r="O42" s="261"/>
      <c r="P42" s="261"/>
      <c r="Q42" s="263"/>
      <c r="R42" s="261"/>
      <c r="S42" s="261"/>
      <c r="T42" s="269"/>
      <c r="U42" s="261"/>
      <c r="V42" s="261"/>
      <c r="W42" s="261"/>
      <c r="X42" s="262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</row>
    <row r="43" spans="1:39" ht="39" customHeight="1">
      <c r="A43" s="286" t="s">
        <v>641</v>
      </c>
      <c r="B43" s="262">
        <f>B17+B32-B40</f>
        <v>225012290.38</v>
      </c>
      <c r="C43" s="262">
        <f>C17+C32-C40</f>
        <v>144468950.28999996</v>
      </c>
      <c r="D43" s="262">
        <f>D17+D32-D40</f>
        <v>108816564.16000006</v>
      </c>
      <c r="E43" s="262">
        <f>E17+E32-E40</f>
        <v>478297804.83000034</v>
      </c>
      <c r="F43" s="262">
        <f>F17+F32-F40</f>
        <v>680805.3084300003</v>
      </c>
      <c r="G43" s="262"/>
      <c r="H43" s="269">
        <f aca="true" t="shared" si="52" ref="H43:Y43">H17+H32-H40</f>
        <v>158957290.13000003</v>
      </c>
      <c r="I43" s="269">
        <f t="shared" si="52"/>
        <v>215070.13112999997</v>
      </c>
      <c r="J43" s="269">
        <f t="shared" si="52"/>
        <v>637255094.9600004</v>
      </c>
      <c r="K43" s="269">
        <f t="shared" si="52"/>
        <v>861021.9395600002</v>
      </c>
      <c r="L43" s="269">
        <f t="shared" si="52"/>
        <v>15820729.669999925</v>
      </c>
      <c r="M43" s="269">
        <f t="shared" si="52"/>
        <v>653075824.6300005</v>
      </c>
      <c r="N43" s="269">
        <f t="shared" si="52"/>
        <v>72209.52566999989</v>
      </c>
      <c r="O43" s="269">
        <f t="shared" si="52"/>
        <v>933231.4652300002</v>
      </c>
      <c r="P43" s="269">
        <f>P17+P32-P40</f>
        <v>39491565.96999995</v>
      </c>
      <c r="Q43" s="271">
        <f t="shared" si="52"/>
        <v>692567390.6000007</v>
      </c>
      <c r="R43" s="269">
        <f t="shared" si="52"/>
        <v>96502.85097</v>
      </c>
      <c r="S43" s="269">
        <f t="shared" si="52"/>
        <v>1029734.3162000002</v>
      </c>
      <c r="T43" s="269">
        <f t="shared" si="52"/>
        <v>112248537.21000007</v>
      </c>
      <c r="U43" s="269">
        <f t="shared" si="52"/>
        <v>804815927.8100009</v>
      </c>
      <c r="V43" s="272">
        <f t="shared" si="52"/>
        <v>168509.31121000004</v>
      </c>
      <c r="W43" s="269">
        <f t="shared" si="52"/>
        <v>1198243.6274100004</v>
      </c>
      <c r="X43" s="269">
        <f t="shared" si="52"/>
        <v>-13296882.780000005</v>
      </c>
      <c r="Y43" s="269">
        <f t="shared" si="52"/>
        <v>791519045.0300012</v>
      </c>
      <c r="Z43" s="272">
        <f>Z17+Z32-Z40</f>
        <v>42965.60622000002</v>
      </c>
      <c r="AA43" s="269">
        <f>AA17+AA32-AA40</f>
        <v>1241059.6933400007</v>
      </c>
      <c r="AB43" s="269">
        <f aca="true" t="shared" si="53" ref="AB43:AM43">AB17+AB32-AB40</f>
        <v>79014426.79000008</v>
      </c>
      <c r="AC43" s="269">
        <f t="shared" si="53"/>
        <v>870533471.8200011</v>
      </c>
      <c r="AD43" s="269">
        <f t="shared" si="53"/>
        <v>135423.83808000007</v>
      </c>
      <c r="AE43" s="269">
        <f t="shared" si="53"/>
        <v>1376483.5314200006</v>
      </c>
      <c r="AF43" s="269">
        <f t="shared" si="53"/>
        <v>311910291.71000004</v>
      </c>
      <c r="AG43" s="269">
        <f t="shared" si="53"/>
        <v>1182443763.5300012</v>
      </c>
      <c r="AH43" s="272">
        <f t="shared" si="53"/>
        <v>368169.57571</v>
      </c>
      <c r="AI43" s="269">
        <f t="shared" si="53"/>
        <v>1744653.1071300008</v>
      </c>
      <c r="AJ43" s="269">
        <f t="shared" si="53"/>
        <v>165742049.25</v>
      </c>
      <c r="AK43" s="269">
        <f t="shared" si="53"/>
        <v>1348185812.7800012</v>
      </c>
      <c r="AL43" s="272">
        <f t="shared" si="53"/>
        <v>221989.12425000002</v>
      </c>
      <c r="AM43" s="269">
        <f t="shared" si="53"/>
        <v>1966642.231380001</v>
      </c>
    </row>
    <row r="44" spans="1:39" ht="15.75">
      <c r="A44" s="289" t="s">
        <v>642</v>
      </c>
      <c r="B44" s="261"/>
      <c r="C44" s="261"/>
      <c r="D44" s="261"/>
      <c r="E44" s="261"/>
      <c r="F44" s="261"/>
      <c r="G44" s="262"/>
      <c r="H44" s="261"/>
      <c r="I44" s="261"/>
      <c r="J44" s="261"/>
      <c r="K44" s="261"/>
      <c r="L44" s="261"/>
      <c r="M44" s="261"/>
      <c r="N44" s="261"/>
      <c r="O44" s="262">
        <f>K44+N44</f>
        <v>0</v>
      </c>
      <c r="P44" s="262">
        <v>-23615104</v>
      </c>
      <c r="Q44" s="265">
        <f>M44+P44</f>
        <v>-23615104</v>
      </c>
      <c r="R44" s="261">
        <v>43818.45</v>
      </c>
      <c r="S44" s="262">
        <f>O44+R44</f>
        <v>43818.45</v>
      </c>
      <c r="T44" s="261"/>
      <c r="U44" s="262">
        <f>Q44+T44</f>
        <v>-23615104</v>
      </c>
      <c r="V44" s="261">
        <f>T44/1000</f>
        <v>0</v>
      </c>
      <c r="W44" s="262">
        <f>S44+V44</f>
        <v>43818.45</v>
      </c>
      <c r="X44" s="262">
        <v>0</v>
      </c>
      <c r="Y44" s="262">
        <f>U44+X44</f>
        <v>-23615104</v>
      </c>
      <c r="Z44" s="261">
        <v>0</v>
      </c>
      <c r="AA44" s="262">
        <f>W44+Z44</f>
        <v>43818.45</v>
      </c>
      <c r="AB44" s="261">
        <v>54162664</v>
      </c>
      <c r="AC44" s="262">
        <f>Y44+AB44</f>
        <v>30547560</v>
      </c>
      <c r="AD44" s="261">
        <v>87865.61</v>
      </c>
      <c r="AE44" s="262">
        <f>AA44+AD44</f>
        <v>131684.06</v>
      </c>
      <c r="AF44" s="261"/>
      <c r="AG44" s="262">
        <f>AC44+AF44</f>
        <v>30547560</v>
      </c>
      <c r="AH44" s="261">
        <f>AF44/1000</f>
        <v>0</v>
      </c>
      <c r="AI44" s="262">
        <f>AE44+AH44</f>
        <v>131684.06</v>
      </c>
      <c r="AJ44" s="261"/>
      <c r="AK44" s="262">
        <f>AG44+AJ44</f>
        <v>30547560</v>
      </c>
      <c r="AL44" s="261">
        <f>AJ44/1000</f>
        <v>0</v>
      </c>
      <c r="AM44" s="262">
        <f>AI44+AL44</f>
        <v>131684.06</v>
      </c>
    </row>
    <row r="45" spans="1:39" ht="15.75">
      <c r="A45" s="291" t="s">
        <v>644</v>
      </c>
      <c r="B45" s="262">
        <v>27623631</v>
      </c>
      <c r="C45" s="262">
        <v>27623631</v>
      </c>
      <c r="D45" s="262">
        <v>27623631</v>
      </c>
      <c r="E45" s="262">
        <f>B45+C45+D45</f>
        <v>82870893</v>
      </c>
      <c r="F45" s="262">
        <f>E45/1000</f>
        <v>82870.893</v>
      </c>
      <c r="G45" s="262"/>
      <c r="H45" s="262">
        <v>17554901</v>
      </c>
      <c r="I45" s="261">
        <f>H45/1000</f>
        <v>17554.901</v>
      </c>
      <c r="J45" s="262">
        <f>E45+H45</f>
        <v>100425794</v>
      </c>
      <c r="K45" s="262">
        <f>F45+I45</f>
        <v>100425.794</v>
      </c>
      <c r="L45" s="262">
        <v>24894949</v>
      </c>
      <c r="M45" s="262">
        <f>J45+L45</f>
        <v>125320743</v>
      </c>
      <c r="N45" s="261">
        <f>L45/1000</f>
        <v>24894.949</v>
      </c>
      <c r="O45" s="262">
        <f>K45+N45</f>
        <v>125320.74299999999</v>
      </c>
      <c r="P45" s="262">
        <f>24894949+5596281</f>
        <v>30491230</v>
      </c>
      <c r="Q45" s="265">
        <f>M45+P45</f>
        <v>155811973</v>
      </c>
      <c r="R45" s="262">
        <f>P45/1000</f>
        <v>30491.23</v>
      </c>
      <c r="S45" s="262">
        <f>O45+R45</f>
        <v>155811.973</v>
      </c>
      <c r="T45" s="262">
        <v>24894949</v>
      </c>
      <c r="U45" s="262">
        <f>Q45+T45</f>
        <v>180706922</v>
      </c>
      <c r="V45" s="261">
        <f>T45/1000</f>
        <v>24894.949</v>
      </c>
      <c r="W45" s="262">
        <f>S45+V45</f>
        <v>180706.922</v>
      </c>
      <c r="X45" s="262">
        <v>24894949</v>
      </c>
      <c r="Y45" s="262">
        <f>U45+X45</f>
        <v>205601871</v>
      </c>
      <c r="Z45" s="261">
        <f>X45/1000</f>
        <v>24894.949</v>
      </c>
      <c r="AA45" s="262">
        <f>W45+Z45</f>
        <v>205601.87099999998</v>
      </c>
      <c r="AB45" s="261">
        <v>-65333928</v>
      </c>
      <c r="AC45" s="262">
        <f>Y45+AB45</f>
        <v>140267943</v>
      </c>
      <c r="AD45" s="261">
        <f>AB45/1000</f>
        <v>-65333.928</v>
      </c>
      <c r="AE45" s="262">
        <f>AA45+AD45</f>
        <v>140267.94299999997</v>
      </c>
      <c r="AF45" s="262">
        <v>24894949</v>
      </c>
      <c r="AG45" s="262">
        <f>AC45+AF45</f>
        <v>165162892</v>
      </c>
      <c r="AH45" s="261">
        <f>AF45/1000</f>
        <v>24894.949</v>
      </c>
      <c r="AI45" s="262">
        <f>AE45+AH45</f>
        <v>165162.89199999996</v>
      </c>
      <c r="AJ45" s="262">
        <v>24894949</v>
      </c>
      <c r="AK45" s="262">
        <f>AG45+AJ45</f>
        <v>190057841</v>
      </c>
      <c r="AL45" s="261">
        <f>AJ45/1000</f>
        <v>24894.949</v>
      </c>
      <c r="AM45" s="262">
        <f>AI45+AL45</f>
        <v>190057.84099999996</v>
      </c>
    </row>
    <row r="46" spans="2:39" ht="13.5" thickBot="1">
      <c r="B46" s="261"/>
      <c r="C46" s="261"/>
      <c r="D46" s="261"/>
      <c r="E46" s="261"/>
      <c r="F46" s="262"/>
      <c r="G46" s="262"/>
      <c r="H46" s="262"/>
      <c r="I46" s="261"/>
      <c r="J46" s="261"/>
      <c r="K46" s="261"/>
      <c r="L46" s="261"/>
      <c r="M46" s="261"/>
      <c r="N46" s="261"/>
      <c r="O46" s="261"/>
      <c r="P46" s="262"/>
      <c r="Q46" s="263"/>
      <c r="R46" s="262"/>
      <c r="S46" s="261"/>
      <c r="T46" s="261"/>
      <c r="U46" s="261"/>
      <c r="V46" s="261"/>
      <c r="W46" s="262">
        <f>S46+V46</f>
        <v>0</v>
      </c>
      <c r="X46" s="262"/>
      <c r="Y46" s="262">
        <f>U46+X46</f>
        <v>0</v>
      </c>
      <c r="Z46" s="261"/>
      <c r="AA46" s="262">
        <f>W46+Z46</f>
        <v>0</v>
      </c>
      <c r="AB46" s="261"/>
      <c r="AC46" s="262">
        <f>Y46+AB46</f>
        <v>0</v>
      </c>
      <c r="AD46" s="261">
        <f>AC46/1000</f>
        <v>0</v>
      </c>
      <c r="AE46" s="262">
        <f>AA46+AD46</f>
        <v>0</v>
      </c>
      <c r="AF46" s="261"/>
      <c r="AG46" s="262">
        <f>AC46+AF46</f>
        <v>0</v>
      </c>
      <c r="AH46" s="261">
        <f>AF46/1000</f>
        <v>0</v>
      </c>
      <c r="AI46" s="262">
        <f>AE46+AH46</f>
        <v>0</v>
      </c>
      <c r="AJ46" s="261"/>
      <c r="AK46" s="262">
        <f>AG46+AJ46</f>
        <v>0</v>
      </c>
      <c r="AL46" s="261">
        <f>AJ46/1000</f>
        <v>0</v>
      </c>
      <c r="AM46" s="262">
        <f>AI46+AL46</f>
        <v>0</v>
      </c>
    </row>
    <row r="47" spans="1:39" ht="16.5" thickBot="1">
      <c r="A47" s="292" t="s">
        <v>645</v>
      </c>
      <c r="B47" s="261"/>
      <c r="C47" s="261"/>
      <c r="D47" s="261"/>
      <c r="E47" s="261"/>
      <c r="F47" s="262"/>
      <c r="G47" s="262"/>
      <c r="H47" s="262"/>
      <c r="I47" s="261"/>
      <c r="J47" s="261"/>
      <c r="K47" s="261"/>
      <c r="L47" s="261"/>
      <c r="M47" s="261"/>
      <c r="N47" s="261"/>
      <c r="O47" s="261"/>
      <c r="P47" s="261"/>
      <c r="Q47" s="263"/>
      <c r="R47" s="262"/>
      <c r="S47" s="261"/>
      <c r="T47" s="261"/>
      <c r="U47" s="261"/>
      <c r="V47" s="261"/>
      <c r="W47" s="261"/>
      <c r="X47" s="262"/>
      <c r="Y47" s="262">
        <f>U47+X47</f>
        <v>0</v>
      </c>
      <c r="Z47" s="261"/>
      <c r="AA47" s="262">
        <f>W47+Z47</f>
        <v>0</v>
      </c>
      <c r="AB47" s="261"/>
      <c r="AC47" s="262">
        <f>Y47+AB47</f>
        <v>0</v>
      </c>
      <c r="AD47" s="261">
        <f>AC47/1000</f>
        <v>0</v>
      </c>
      <c r="AE47" s="262">
        <f>AA47+AD47</f>
        <v>0</v>
      </c>
      <c r="AF47" s="261"/>
      <c r="AG47" s="262">
        <f>AC47+AF47</f>
        <v>0</v>
      </c>
      <c r="AH47" s="261">
        <f>AF47/1000</f>
        <v>0</v>
      </c>
      <c r="AI47" s="262">
        <f>AE47+AH47</f>
        <v>0</v>
      </c>
      <c r="AJ47" s="261"/>
      <c r="AK47" s="262">
        <f>AG47+AJ47</f>
        <v>0</v>
      </c>
      <c r="AL47" s="261">
        <f>AJ47/1000</f>
        <v>0</v>
      </c>
      <c r="AM47" s="262">
        <f>AI47+AL47</f>
        <v>0</v>
      </c>
    </row>
    <row r="48" spans="1:39" ht="15.75">
      <c r="A48" s="293" t="s">
        <v>646</v>
      </c>
      <c r="B48" s="337">
        <f>B43-B45</f>
        <v>197388659.38</v>
      </c>
      <c r="C48" s="269">
        <f>C43-C45</f>
        <v>116845319.28999996</v>
      </c>
      <c r="D48" s="337">
        <f>D43-D45-D46-D47</f>
        <v>81192933.16000006</v>
      </c>
      <c r="E48" s="337">
        <f>E43-E45</f>
        <v>395426911.83000034</v>
      </c>
      <c r="F48" s="269">
        <f>F43-F45</f>
        <v>597934.4154300003</v>
      </c>
      <c r="G48" s="269"/>
      <c r="H48" s="337">
        <f>H43-H45</f>
        <v>141402389.13000003</v>
      </c>
      <c r="I48" s="269">
        <f>I43-I53</f>
        <v>215070.13112999997</v>
      </c>
      <c r="J48" s="269">
        <f>J43-J45</f>
        <v>536829300.9600004</v>
      </c>
      <c r="K48" s="269">
        <f>K43-K45</f>
        <v>760596.1455600002</v>
      </c>
      <c r="L48" s="337">
        <f>L43-L45</f>
        <v>-9074219.330000075</v>
      </c>
      <c r="M48" s="269">
        <f>M43-M45</f>
        <v>527755081.6300005</v>
      </c>
      <c r="N48" s="269">
        <f>N43-N45</f>
        <v>47314.576669999886</v>
      </c>
      <c r="O48" s="269">
        <f aca="true" t="shared" si="54" ref="O48:U48">O43-O44-O45</f>
        <v>807910.7222300002</v>
      </c>
      <c r="P48" s="269">
        <f t="shared" si="54"/>
        <v>32615439.969999947</v>
      </c>
      <c r="Q48" s="271">
        <f t="shared" si="54"/>
        <v>560370521.6000007</v>
      </c>
      <c r="R48" s="269">
        <f t="shared" si="54"/>
        <v>22193.170970000003</v>
      </c>
      <c r="S48" s="269">
        <f t="shared" si="54"/>
        <v>830103.8932000003</v>
      </c>
      <c r="T48" s="269">
        <f t="shared" si="54"/>
        <v>87353588.21000007</v>
      </c>
      <c r="U48" s="269">
        <f t="shared" si="54"/>
        <v>647724109.8100009</v>
      </c>
      <c r="V48" s="272">
        <f>V43-V45</f>
        <v>143614.36221000005</v>
      </c>
      <c r="W48" s="269">
        <f>W43-W44-W45</f>
        <v>973718.2554100004</v>
      </c>
      <c r="X48" s="269">
        <f>X43-X44-X45</f>
        <v>-38191831.78</v>
      </c>
      <c r="Y48" s="269">
        <f>Y43-Y44-Y45</f>
        <v>609532278.0300012</v>
      </c>
      <c r="Z48" s="272">
        <f>Z43-Z44-Z45-Z46-Z47</f>
        <v>18070.657220000023</v>
      </c>
      <c r="AA48" s="269">
        <f>AA43-AA44-AA45-AA46-AA47</f>
        <v>991639.3723400007</v>
      </c>
      <c r="AB48" s="269">
        <f>AB43-AB44-AB45</f>
        <v>90185690.79000008</v>
      </c>
      <c r="AC48" s="269">
        <f>AC43-AC44-AC45</f>
        <v>699717968.8200011</v>
      </c>
      <c r="AD48" s="269">
        <f>AD43-AD44-AD45</f>
        <v>112892.15608000007</v>
      </c>
      <c r="AE48" s="269">
        <f>AE43-AE44-AE45-AE46-AE47</f>
        <v>1104531.5284200006</v>
      </c>
      <c r="AF48" s="269">
        <f>AF43-AF44-AF45</f>
        <v>287015342.71000004</v>
      </c>
      <c r="AG48" s="269">
        <f>AG43-AG44-AG45-AG46-AG47</f>
        <v>986733311.5300012</v>
      </c>
      <c r="AH48" s="272">
        <f>AH43-AH44-AH45-AH46-AH47</f>
        <v>343274.62671</v>
      </c>
      <c r="AI48" s="269">
        <f>AI43-AI44-AI45-AI46-AI47</f>
        <v>1447806.1551300008</v>
      </c>
      <c r="AJ48" s="269">
        <f>AJ43-AJ44-AJ45</f>
        <v>140847100.25</v>
      </c>
      <c r="AK48" s="269">
        <f>AK43-AK44-AK45-AK46-AK47</f>
        <v>1127580411.7800012</v>
      </c>
      <c r="AL48" s="272">
        <f>AL43-AL44-AL45-AL46-AL47</f>
        <v>197094.17525000003</v>
      </c>
      <c r="AM48" s="269">
        <f>AM43-AM44-AM45-AM46-AM47</f>
        <v>1644900.3303800009</v>
      </c>
    </row>
    <row r="49" spans="1:39" ht="15.75">
      <c r="A49" s="338" t="s">
        <v>647</v>
      </c>
      <c r="B49" s="261"/>
      <c r="C49" s="261"/>
      <c r="D49" s="261"/>
      <c r="E49" s="261"/>
      <c r="F49" s="262"/>
      <c r="G49" s="261"/>
      <c r="H49" s="261"/>
      <c r="I49" s="261"/>
      <c r="J49" s="261"/>
      <c r="K49" s="261"/>
      <c r="L49" s="261"/>
      <c r="M49" s="261"/>
      <c r="N49" s="261"/>
      <c r="O49" s="262">
        <f>K48+N48</f>
        <v>807910.7222300001</v>
      </c>
      <c r="P49" s="266"/>
      <c r="Q49" s="295">
        <v>560370521.6</v>
      </c>
      <c r="R49" s="261"/>
      <c r="S49" s="262">
        <f>O48+R48</f>
        <v>830103.8932000002</v>
      </c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</row>
    <row r="50" spans="1:39" ht="12.75">
      <c r="A50" s="261"/>
      <c r="H50" s="297">
        <v>141402389.13</v>
      </c>
      <c r="J50" s="262">
        <v>536829300.96</v>
      </c>
      <c r="K50" s="262">
        <f>F48+I48</f>
        <v>813004.5465600003</v>
      </c>
      <c r="L50" s="261"/>
      <c r="M50" s="262">
        <f>J48+L48</f>
        <v>527755081.6300003</v>
      </c>
      <c r="N50" s="262">
        <f>L48+1604169+103447682+21728-47792786-891997</f>
        <v>47314576.66999993</v>
      </c>
      <c r="O50" s="262"/>
      <c r="P50" s="262"/>
      <c r="Q50" s="298"/>
      <c r="R50" s="261"/>
      <c r="S50" s="262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</row>
    <row r="51" spans="8:19" ht="12.75">
      <c r="H51" s="51">
        <f>H50-H48</f>
        <v>0</v>
      </c>
      <c r="J51" s="51">
        <f>J48-J50</f>
        <v>0</v>
      </c>
      <c r="M51" s="51">
        <f>M48-M50</f>
        <v>0</v>
      </c>
      <c r="O51" s="51"/>
      <c r="P51" s="51">
        <v>34542824</v>
      </c>
      <c r="Q51" s="51"/>
      <c r="S51" s="51"/>
    </row>
    <row r="52" spans="2:21" ht="12.75">
      <c r="B52" s="51"/>
      <c r="C52" s="51"/>
      <c r="D52" s="51"/>
      <c r="H52" s="51"/>
      <c r="P52" s="51"/>
      <c r="Q52" s="51"/>
      <c r="S52" s="51"/>
      <c r="U52" s="51">
        <f>U44+U45</f>
        <v>157091818</v>
      </c>
    </row>
    <row r="53" spans="8:19" ht="12.75">
      <c r="H53" s="51"/>
      <c r="P53" s="51">
        <f>P48-P51</f>
        <v>-1927384.0300000533</v>
      </c>
      <c r="Q53" s="51">
        <f>Q48-Q49</f>
        <v>0</v>
      </c>
      <c r="R53" s="51"/>
      <c r="S53" s="51"/>
    </row>
    <row r="54" spans="17:19" ht="12.75">
      <c r="Q54" s="51"/>
      <c r="S54" s="51"/>
    </row>
    <row r="55" spans="17:19" ht="12.75">
      <c r="Q55" s="51"/>
      <c r="S55" s="51"/>
    </row>
    <row r="56" ht="12.75">
      <c r="S56" s="51"/>
    </row>
    <row r="57" ht="12.75">
      <c r="P57" s="51"/>
    </row>
    <row r="59" ht="12.75">
      <c r="Q59" s="51"/>
    </row>
    <row r="64" spans="33:37" ht="12.75">
      <c r="AG64" s="51"/>
      <c r="AK64" s="51"/>
    </row>
    <row r="65" ht="15">
      <c r="Y65" s="305"/>
    </row>
    <row r="66" spans="25:37" ht="12.75">
      <c r="Y66" s="51"/>
      <c r="AG66" s="51"/>
      <c r="AK66" s="51"/>
    </row>
    <row r="67" spans="25:37" ht="12.75">
      <c r="Y67" s="51"/>
      <c r="AG67" s="51"/>
      <c r="AK67" s="51"/>
    </row>
    <row r="68" spans="33:37" ht="12.75">
      <c r="AG68" s="51"/>
      <c r="AK68" s="51"/>
    </row>
    <row r="69" spans="33:37" ht="12.75">
      <c r="AG69" s="51"/>
      <c r="AK69" s="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00"/>
  <sheetViews>
    <sheetView zoomScalePageLayoutView="0" workbookViewId="0" topLeftCell="A77">
      <selection activeCell="F61" sqref="F61"/>
    </sheetView>
  </sheetViews>
  <sheetFormatPr defaultColWidth="8.75390625" defaultRowHeight="12.75" outlineLevelRow="2"/>
  <cols>
    <col min="1" max="1" width="30.875" style="89" customWidth="1"/>
    <col min="2" max="3" width="16.125" style="89" customWidth="1"/>
    <col min="4" max="4" width="18.125" style="89" customWidth="1"/>
    <col min="5" max="5" width="18.25390625" style="89" customWidth="1"/>
    <col min="6" max="6" width="17.125" style="89" customWidth="1"/>
    <col min="7" max="7" width="16.125" style="89" customWidth="1"/>
  </cols>
  <sheetData>
    <row r="1" ht="12.75" customHeight="1">
      <c r="A1" s="88" t="s">
        <v>195</v>
      </c>
    </row>
    <row r="2" ht="15.75" customHeight="1">
      <c r="A2" s="90" t="s">
        <v>682</v>
      </c>
    </row>
    <row r="3" spans="1:2" ht="10.5" customHeight="1">
      <c r="A3" s="89" t="s">
        <v>196</v>
      </c>
      <c r="B3" s="89" t="s">
        <v>197</v>
      </c>
    </row>
    <row r="4" spans="1:7" ht="12" customHeight="1">
      <c r="A4" s="377" t="s">
        <v>198</v>
      </c>
      <c r="B4" s="378" t="s">
        <v>199</v>
      </c>
      <c r="C4" s="378"/>
      <c r="D4" s="378" t="s">
        <v>200</v>
      </c>
      <c r="E4" s="378"/>
      <c r="F4" s="378" t="s">
        <v>201</v>
      </c>
      <c r="G4" s="378"/>
    </row>
    <row r="5" spans="1:7" ht="12" customHeight="1">
      <c r="A5" s="377"/>
      <c r="B5" s="334" t="s">
        <v>191</v>
      </c>
      <c r="C5" s="334" t="s">
        <v>192</v>
      </c>
      <c r="D5" s="334" t="s">
        <v>191</v>
      </c>
      <c r="E5" s="334" t="s">
        <v>192</v>
      </c>
      <c r="F5" s="334" t="s">
        <v>191</v>
      </c>
      <c r="G5" s="334" t="s">
        <v>192</v>
      </c>
    </row>
    <row r="6" spans="1:7" ht="24" customHeight="1">
      <c r="A6" s="106" t="s">
        <v>202</v>
      </c>
      <c r="B6" s="335">
        <v>1720310395.96</v>
      </c>
      <c r="C6" s="108"/>
      <c r="D6" s="335">
        <v>150817923232.63</v>
      </c>
      <c r="E6" s="335">
        <v>150651230549.24</v>
      </c>
      <c r="F6" s="335">
        <v>1887003079.35</v>
      </c>
      <c r="G6" s="108"/>
    </row>
    <row r="7" spans="1:7" ht="24" customHeight="1" outlineLevel="1">
      <c r="A7" s="109" t="s">
        <v>203</v>
      </c>
      <c r="B7" s="110">
        <v>272999.13</v>
      </c>
      <c r="C7" s="111"/>
      <c r="D7" s="110">
        <v>66714230.04</v>
      </c>
      <c r="E7" s="110">
        <v>65430203.05</v>
      </c>
      <c r="F7" s="110">
        <v>1557026.12</v>
      </c>
      <c r="G7" s="111"/>
    </row>
    <row r="8" spans="1:7" ht="24" customHeight="1" outlineLevel="1">
      <c r="A8" s="112" t="s">
        <v>204</v>
      </c>
      <c r="B8" s="113">
        <v>19156927.68</v>
      </c>
      <c r="C8" s="114"/>
      <c r="D8" s="113">
        <v>29780000</v>
      </c>
      <c r="E8" s="113">
        <v>18849472.85</v>
      </c>
      <c r="F8" s="113">
        <v>30087454.83</v>
      </c>
      <c r="G8" s="114"/>
    </row>
    <row r="9" spans="1:7" ht="24" customHeight="1" outlineLevel="2">
      <c r="A9" s="115" t="s">
        <v>205</v>
      </c>
      <c r="B9" s="110">
        <v>19156927.68</v>
      </c>
      <c r="C9" s="111"/>
      <c r="D9" s="110">
        <v>29780000</v>
      </c>
      <c r="E9" s="110">
        <v>18849472.85</v>
      </c>
      <c r="F9" s="110">
        <v>30087454.83</v>
      </c>
      <c r="G9" s="111"/>
    </row>
    <row r="10" spans="1:7" ht="24" customHeight="1" outlineLevel="1">
      <c r="A10" s="112" t="s">
        <v>206</v>
      </c>
      <c r="B10" s="113">
        <v>1700880469.15</v>
      </c>
      <c r="C10" s="114"/>
      <c r="D10" s="113">
        <v>90096067332.59001</v>
      </c>
      <c r="E10" s="113">
        <v>91225177251.23999</v>
      </c>
      <c r="F10" s="113">
        <v>571770550.5</v>
      </c>
      <c r="G10" s="114"/>
    </row>
    <row r="11" spans="1:7" ht="24" customHeight="1" outlineLevel="2">
      <c r="A11" s="115" t="s">
        <v>207</v>
      </c>
      <c r="B11" s="110">
        <v>1700880469.15</v>
      </c>
      <c r="C11" s="111"/>
      <c r="D11" s="110">
        <v>90096067332.59001</v>
      </c>
      <c r="E11" s="110">
        <v>91225177251.23999</v>
      </c>
      <c r="F11" s="110">
        <v>571770550.5</v>
      </c>
      <c r="G11" s="111"/>
    </row>
    <row r="12" spans="1:7" ht="24" customHeight="1" outlineLevel="1">
      <c r="A12" s="112" t="s">
        <v>384</v>
      </c>
      <c r="B12" s="114"/>
      <c r="C12" s="114"/>
      <c r="D12" s="113">
        <v>59725261670</v>
      </c>
      <c r="E12" s="113">
        <v>58441673622.1</v>
      </c>
      <c r="F12" s="113">
        <v>1283588047.9</v>
      </c>
      <c r="G12" s="114"/>
    </row>
    <row r="13" spans="1:7" ht="36" customHeight="1" outlineLevel="2">
      <c r="A13" s="115" t="s">
        <v>385</v>
      </c>
      <c r="B13" s="111"/>
      <c r="C13" s="111"/>
      <c r="D13" s="110">
        <v>59725261670</v>
      </c>
      <c r="E13" s="110">
        <v>58441673622.1</v>
      </c>
      <c r="F13" s="110">
        <v>1283588047.9</v>
      </c>
      <c r="G13" s="111"/>
    </row>
    <row r="14" spans="1:7" ht="24" customHeight="1" outlineLevel="1">
      <c r="A14" s="109" t="s">
        <v>683</v>
      </c>
      <c r="B14" s="111"/>
      <c r="C14" s="111"/>
      <c r="D14" s="110">
        <v>900100000</v>
      </c>
      <c r="E14" s="110">
        <v>900100000</v>
      </c>
      <c r="F14" s="111"/>
      <c r="G14" s="111"/>
    </row>
    <row r="15" spans="1:7" ht="24" customHeight="1">
      <c r="A15" s="106" t="s">
        <v>684</v>
      </c>
      <c r="B15" s="108"/>
      <c r="C15" s="108"/>
      <c r="D15" s="335">
        <v>904143788.33</v>
      </c>
      <c r="E15" s="335">
        <v>902343978.43</v>
      </c>
      <c r="F15" s="335">
        <v>1799809.9</v>
      </c>
      <c r="G15" s="108"/>
    </row>
    <row r="16" spans="1:7" ht="48" customHeight="1" outlineLevel="1">
      <c r="A16" s="109" t="s">
        <v>685</v>
      </c>
      <c r="B16" s="111"/>
      <c r="C16" s="111"/>
      <c r="D16" s="110">
        <v>904143788.33</v>
      </c>
      <c r="E16" s="110">
        <v>902343978.43</v>
      </c>
      <c r="F16" s="110">
        <v>1799809.9</v>
      </c>
      <c r="G16" s="111"/>
    </row>
    <row r="17" spans="1:7" ht="24" customHeight="1">
      <c r="A17" s="106" t="s">
        <v>208</v>
      </c>
      <c r="B17" s="335">
        <v>218607842.51</v>
      </c>
      <c r="C17" s="108"/>
      <c r="D17" s="335">
        <v>9723361505.359999</v>
      </c>
      <c r="E17" s="335">
        <v>9650115851.37</v>
      </c>
      <c r="F17" s="335">
        <v>291853496.5</v>
      </c>
      <c r="G17" s="108"/>
    </row>
    <row r="18" spans="1:7" ht="24" customHeight="1" outlineLevel="1">
      <c r="A18" s="109" t="s">
        <v>209</v>
      </c>
      <c r="B18" s="110">
        <v>17516139.74</v>
      </c>
      <c r="C18" s="111"/>
      <c r="D18" s="110">
        <v>46440377.18</v>
      </c>
      <c r="E18" s="110">
        <v>48494318.78</v>
      </c>
      <c r="F18" s="110">
        <v>15462198.14</v>
      </c>
      <c r="G18" s="111"/>
    </row>
    <row r="19" spans="1:7" ht="24" customHeight="1" outlineLevel="1">
      <c r="A19" s="109" t="s">
        <v>210</v>
      </c>
      <c r="B19" s="111"/>
      <c r="C19" s="111"/>
      <c r="D19" s="110">
        <v>74392</v>
      </c>
      <c r="E19" s="110">
        <v>74392</v>
      </c>
      <c r="F19" s="111"/>
      <c r="G19" s="111"/>
    </row>
    <row r="20" spans="1:7" ht="36" customHeight="1" outlineLevel="1">
      <c r="A20" s="112" t="s">
        <v>211</v>
      </c>
      <c r="B20" s="113">
        <v>204392277.75</v>
      </c>
      <c r="C20" s="114"/>
      <c r="D20" s="113">
        <v>9329641601.14</v>
      </c>
      <c r="E20" s="113">
        <v>9246940684.21</v>
      </c>
      <c r="F20" s="113">
        <v>287093194.68</v>
      </c>
      <c r="G20" s="114"/>
    </row>
    <row r="21" spans="1:7" ht="36" customHeight="1" outlineLevel="2">
      <c r="A21" s="115" t="s">
        <v>212</v>
      </c>
      <c r="B21" s="110">
        <v>204392277.75</v>
      </c>
      <c r="C21" s="111"/>
      <c r="D21" s="110">
        <v>9329641601.14</v>
      </c>
      <c r="E21" s="110">
        <v>9246940684.21</v>
      </c>
      <c r="F21" s="110">
        <v>287093194.68</v>
      </c>
      <c r="G21" s="111"/>
    </row>
    <row r="22" spans="1:7" ht="36" customHeight="1" outlineLevel="1">
      <c r="A22" s="112" t="s">
        <v>213</v>
      </c>
      <c r="B22" s="113">
        <v>1351187.53</v>
      </c>
      <c r="C22" s="114"/>
      <c r="D22" s="113">
        <v>77975576.57</v>
      </c>
      <c r="E22" s="113">
        <v>77168429.25</v>
      </c>
      <c r="F22" s="113">
        <v>2158334.85</v>
      </c>
      <c r="G22" s="114"/>
    </row>
    <row r="23" spans="1:7" ht="36" customHeight="1" outlineLevel="2">
      <c r="A23" s="115" t="s">
        <v>214</v>
      </c>
      <c r="B23" s="110">
        <v>1200341.61</v>
      </c>
      <c r="C23" s="111"/>
      <c r="D23" s="110">
        <v>73876031.57</v>
      </c>
      <c r="E23" s="110">
        <v>73781249.56</v>
      </c>
      <c r="F23" s="110">
        <v>1295123.62</v>
      </c>
      <c r="G23" s="111"/>
    </row>
    <row r="24" spans="1:7" ht="36" customHeight="1" outlineLevel="2">
      <c r="A24" s="115" t="s">
        <v>215</v>
      </c>
      <c r="B24" s="110">
        <v>150845.92</v>
      </c>
      <c r="C24" s="111"/>
      <c r="D24" s="110">
        <v>3815300</v>
      </c>
      <c r="E24" s="110">
        <v>3102934.69</v>
      </c>
      <c r="F24" s="110">
        <v>863211.23</v>
      </c>
      <c r="G24" s="111"/>
    </row>
    <row r="25" spans="1:7" ht="36" customHeight="1" outlineLevel="2">
      <c r="A25" s="115" t="s">
        <v>216</v>
      </c>
      <c r="B25" s="111"/>
      <c r="C25" s="111"/>
      <c r="D25" s="110">
        <v>284245</v>
      </c>
      <c r="E25" s="110">
        <v>284245</v>
      </c>
      <c r="F25" s="111"/>
      <c r="G25" s="111"/>
    </row>
    <row r="26" spans="1:7" ht="24" customHeight="1" outlineLevel="1">
      <c r="A26" s="112" t="s">
        <v>386</v>
      </c>
      <c r="B26" s="114"/>
      <c r="C26" s="114"/>
      <c r="D26" s="113">
        <v>24281396.3</v>
      </c>
      <c r="E26" s="113">
        <v>24281396.3</v>
      </c>
      <c r="F26" s="114"/>
      <c r="G26" s="114"/>
    </row>
    <row r="27" spans="1:7" ht="36" customHeight="1" outlineLevel="2">
      <c r="A27" s="115" t="s">
        <v>387</v>
      </c>
      <c r="B27" s="111"/>
      <c r="C27" s="111"/>
      <c r="D27" s="110">
        <v>24281396.3</v>
      </c>
      <c r="E27" s="110">
        <v>24281396.3</v>
      </c>
      <c r="F27" s="111"/>
      <c r="G27" s="111"/>
    </row>
    <row r="28" spans="1:7" ht="24" customHeight="1" outlineLevel="1">
      <c r="A28" s="109" t="s">
        <v>217</v>
      </c>
      <c r="B28" s="110">
        <v>24581809.39</v>
      </c>
      <c r="C28" s="111"/>
      <c r="D28" s="110">
        <v>244948162.17</v>
      </c>
      <c r="E28" s="110">
        <v>242401968.34</v>
      </c>
      <c r="F28" s="110">
        <v>27128003.22</v>
      </c>
      <c r="G28" s="111"/>
    </row>
    <row r="29" spans="1:7" ht="24" customHeight="1" outlineLevel="2">
      <c r="A29" s="115" t="s">
        <v>217</v>
      </c>
      <c r="B29" s="110">
        <v>12821531.16</v>
      </c>
      <c r="C29" s="111"/>
      <c r="D29" s="110">
        <v>241874415.7</v>
      </c>
      <c r="E29" s="110">
        <v>242401968.62</v>
      </c>
      <c r="F29" s="110">
        <v>12293978.24</v>
      </c>
      <c r="G29" s="111"/>
    </row>
    <row r="30" spans="1:7" ht="24" customHeight="1" outlineLevel="2">
      <c r="A30" s="115" t="s">
        <v>368</v>
      </c>
      <c r="B30" s="110">
        <v>9372119.23</v>
      </c>
      <c r="C30" s="111"/>
      <c r="D30" s="110">
        <v>3073746.47</v>
      </c>
      <c r="E30" s="111"/>
      <c r="F30" s="110">
        <v>12445865.7</v>
      </c>
      <c r="G30" s="111"/>
    </row>
    <row r="31" spans="1:7" ht="24" customHeight="1" outlineLevel="2">
      <c r="A31" s="115" t="s">
        <v>218</v>
      </c>
      <c r="B31" s="110">
        <v>2388159</v>
      </c>
      <c r="C31" s="111"/>
      <c r="D31" s="111"/>
      <c r="E31" s="117">
        <v>-0.28</v>
      </c>
      <c r="F31" s="110">
        <v>2388159.28</v>
      </c>
      <c r="G31" s="111"/>
    </row>
    <row r="32" spans="1:7" ht="24" customHeight="1" outlineLevel="1">
      <c r="A32" s="112" t="s">
        <v>219</v>
      </c>
      <c r="B32" s="114"/>
      <c r="C32" s="113">
        <v>29233571.9</v>
      </c>
      <c r="D32" s="114"/>
      <c r="E32" s="113">
        <v>10754662.49</v>
      </c>
      <c r="F32" s="114"/>
      <c r="G32" s="113">
        <v>39988234.39</v>
      </c>
    </row>
    <row r="33" spans="1:7" ht="58.5" customHeight="1" outlineLevel="2">
      <c r="A33" s="115" t="s">
        <v>362</v>
      </c>
      <c r="B33" s="111"/>
      <c r="C33" s="110">
        <v>22769018.21</v>
      </c>
      <c r="D33" s="111"/>
      <c r="E33" s="110">
        <v>10754662.49</v>
      </c>
      <c r="F33" s="111"/>
      <c r="G33" s="110">
        <v>33523680.7</v>
      </c>
    </row>
    <row r="34" spans="1:7" ht="58.5" customHeight="1" outlineLevel="2">
      <c r="A34" s="115" t="s">
        <v>363</v>
      </c>
      <c r="B34" s="111"/>
      <c r="C34" s="110">
        <v>6464553.69</v>
      </c>
      <c r="D34" s="111"/>
      <c r="E34" s="111"/>
      <c r="F34" s="111"/>
      <c r="G34" s="110">
        <v>6464553.69</v>
      </c>
    </row>
    <row r="35" spans="1:7" ht="12" customHeight="1">
      <c r="A35" s="106" t="s">
        <v>220</v>
      </c>
      <c r="B35" s="335">
        <v>209302910.32</v>
      </c>
      <c r="C35" s="108"/>
      <c r="D35" s="335">
        <v>2717905963.020001</v>
      </c>
      <c r="E35" s="335">
        <v>2701534169.78</v>
      </c>
      <c r="F35" s="335">
        <v>225674703.56</v>
      </c>
      <c r="G35" s="108"/>
    </row>
    <row r="36" spans="1:7" ht="12" customHeight="1" outlineLevel="1">
      <c r="A36" s="112" t="s">
        <v>221</v>
      </c>
      <c r="B36" s="113">
        <v>209259712.67</v>
      </c>
      <c r="C36" s="114"/>
      <c r="D36" s="113">
        <v>543464790.33</v>
      </c>
      <c r="E36" s="113">
        <v>527107097.63</v>
      </c>
      <c r="F36" s="113">
        <v>225617405.37</v>
      </c>
      <c r="G36" s="114"/>
    </row>
    <row r="37" spans="1:7" ht="12" customHeight="1" outlineLevel="2">
      <c r="A37" s="115" t="s">
        <v>222</v>
      </c>
      <c r="B37" s="110">
        <v>176712696.49</v>
      </c>
      <c r="C37" s="111"/>
      <c r="D37" s="110">
        <v>332683833.67</v>
      </c>
      <c r="E37" s="110">
        <v>331889424.1</v>
      </c>
      <c r="F37" s="110">
        <v>177507106.06</v>
      </c>
      <c r="G37" s="111"/>
    </row>
    <row r="38" spans="1:7" ht="12" customHeight="1" outlineLevel="2">
      <c r="A38" s="115" t="s">
        <v>223</v>
      </c>
      <c r="B38" s="110">
        <v>2898906.65</v>
      </c>
      <c r="C38" s="111"/>
      <c r="D38" s="110">
        <v>141371618.12</v>
      </c>
      <c r="E38" s="110">
        <v>133407465.17</v>
      </c>
      <c r="F38" s="110">
        <v>10863059.6</v>
      </c>
      <c r="G38" s="111"/>
    </row>
    <row r="39" spans="1:7" ht="12" customHeight="1" outlineLevel="2">
      <c r="A39" s="115" t="s">
        <v>224</v>
      </c>
      <c r="B39" s="110">
        <v>8900605.9</v>
      </c>
      <c r="C39" s="111"/>
      <c r="D39" s="110">
        <v>28473390.22</v>
      </c>
      <c r="E39" s="110">
        <v>22126476.92</v>
      </c>
      <c r="F39" s="110">
        <v>15247519.2</v>
      </c>
      <c r="G39" s="111"/>
    </row>
    <row r="40" spans="1:7" ht="24" customHeight="1" outlineLevel="2">
      <c r="A40" s="115" t="s">
        <v>225</v>
      </c>
      <c r="B40" s="110">
        <v>13471238.32</v>
      </c>
      <c r="C40" s="111"/>
      <c r="D40" s="110">
        <v>20112071.12</v>
      </c>
      <c r="E40" s="110">
        <v>20433286.72</v>
      </c>
      <c r="F40" s="110">
        <v>13150022.72</v>
      </c>
      <c r="G40" s="111"/>
    </row>
    <row r="41" spans="1:7" ht="24" customHeight="1" outlineLevel="2">
      <c r="A41" s="115" t="s">
        <v>226</v>
      </c>
      <c r="B41" s="110">
        <v>15917854.4</v>
      </c>
      <c r="C41" s="111"/>
      <c r="D41" s="110">
        <v>20823877.2</v>
      </c>
      <c r="E41" s="110">
        <v>17952353.02</v>
      </c>
      <c r="F41" s="110">
        <v>18789378.58</v>
      </c>
      <c r="G41" s="111"/>
    </row>
    <row r="42" spans="1:7" ht="24" customHeight="1" outlineLevel="2">
      <c r="A42" s="115" t="s">
        <v>227</v>
      </c>
      <c r="B42" s="118">
        <v>-8641589.09</v>
      </c>
      <c r="C42" s="111"/>
      <c r="D42" s="111"/>
      <c r="E42" s="110">
        <v>1298091.7</v>
      </c>
      <c r="F42" s="118">
        <v>-9939680.79</v>
      </c>
      <c r="G42" s="111"/>
    </row>
    <row r="43" spans="1:7" ht="12" customHeight="1" outlineLevel="1">
      <c r="A43" s="109" t="s">
        <v>228</v>
      </c>
      <c r="B43" s="111"/>
      <c r="C43" s="111"/>
      <c r="D43" s="110">
        <v>2172854721.28</v>
      </c>
      <c r="E43" s="110">
        <v>2172854721.28</v>
      </c>
      <c r="F43" s="111"/>
      <c r="G43" s="111"/>
    </row>
    <row r="44" spans="1:7" ht="24" customHeight="1" outlineLevel="2">
      <c r="A44" s="115" t="s">
        <v>229</v>
      </c>
      <c r="B44" s="111"/>
      <c r="C44" s="111"/>
      <c r="D44" s="110">
        <v>2172854721.28</v>
      </c>
      <c r="E44" s="110">
        <v>2172854721.28</v>
      </c>
      <c r="F44" s="111"/>
      <c r="G44" s="111"/>
    </row>
    <row r="45" spans="1:7" ht="12" customHeight="1" outlineLevel="1">
      <c r="A45" s="109" t="s">
        <v>230</v>
      </c>
      <c r="B45" s="110">
        <v>43197.65</v>
      </c>
      <c r="C45" s="111"/>
      <c r="D45" s="110">
        <v>1586451.41</v>
      </c>
      <c r="E45" s="110">
        <v>1572350.87</v>
      </c>
      <c r="F45" s="110">
        <v>57298.19</v>
      </c>
      <c r="G45" s="111"/>
    </row>
    <row r="46" spans="1:7" ht="12" customHeight="1">
      <c r="A46" s="106" t="s">
        <v>231</v>
      </c>
      <c r="B46" s="335">
        <v>284516047.67</v>
      </c>
      <c r="C46" s="108"/>
      <c r="D46" s="335">
        <v>651342125.03</v>
      </c>
      <c r="E46" s="335">
        <v>844837837.99</v>
      </c>
      <c r="F46" s="335">
        <v>91020334.71</v>
      </c>
      <c r="G46" s="108"/>
    </row>
    <row r="47" spans="1:7" ht="24" customHeight="1" outlineLevel="1">
      <c r="A47" s="109" t="s">
        <v>232</v>
      </c>
      <c r="B47" s="110">
        <v>46123063.79</v>
      </c>
      <c r="C47" s="111"/>
      <c r="D47" s="110">
        <v>90228877</v>
      </c>
      <c r="E47" s="110">
        <v>45946131</v>
      </c>
      <c r="F47" s="110">
        <v>90405809.79</v>
      </c>
      <c r="G47" s="111"/>
    </row>
    <row r="48" spans="1:7" ht="24" customHeight="1" outlineLevel="1">
      <c r="A48" s="112" t="s">
        <v>233</v>
      </c>
      <c r="B48" s="113">
        <v>238253653.51</v>
      </c>
      <c r="C48" s="114"/>
      <c r="D48" s="113">
        <v>559488415.48</v>
      </c>
      <c r="E48" s="113">
        <v>797742068.99</v>
      </c>
      <c r="F48" s="114"/>
      <c r="G48" s="114"/>
    </row>
    <row r="49" spans="1:7" ht="24" customHeight="1" outlineLevel="2">
      <c r="A49" s="119" t="s">
        <v>233</v>
      </c>
      <c r="B49" s="113">
        <v>5743517.66</v>
      </c>
      <c r="C49" s="114"/>
      <c r="D49" s="114"/>
      <c r="E49" s="114"/>
      <c r="F49" s="113">
        <v>5743517.66</v>
      </c>
      <c r="G49" s="114"/>
    </row>
    <row r="50" spans="1:7" ht="24" customHeight="1" outlineLevel="2">
      <c r="A50" s="115" t="s">
        <v>234</v>
      </c>
      <c r="B50" s="110">
        <v>232510135.85</v>
      </c>
      <c r="C50" s="111"/>
      <c r="D50" s="110">
        <v>559488415.48</v>
      </c>
      <c r="E50" s="110">
        <v>797742068.99</v>
      </c>
      <c r="F50" s="118">
        <v>-5743517.66</v>
      </c>
      <c r="G50" s="111"/>
    </row>
    <row r="51" spans="1:7" ht="36" customHeight="1" outlineLevel="1">
      <c r="A51" s="109" t="s">
        <v>235</v>
      </c>
      <c r="B51" s="110">
        <v>139330.37</v>
      </c>
      <c r="C51" s="111"/>
      <c r="D51" s="110">
        <v>1624832.55</v>
      </c>
      <c r="E51" s="110">
        <v>1149638</v>
      </c>
      <c r="F51" s="110">
        <v>614524.92</v>
      </c>
      <c r="G51" s="111"/>
    </row>
    <row r="52" spans="1:7" ht="24" customHeight="1">
      <c r="A52" s="106" t="s">
        <v>236</v>
      </c>
      <c r="B52" s="335">
        <v>324325957.8</v>
      </c>
      <c r="C52" s="108"/>
      <c r="D52" s="335">
        <v>3654676498.4</v>
      </c>
      <c r="E52" s="335">
        <v>3229957197.07</v>
      </c>
      <c r="F52" s="335">
        <v>749045259.13</v>
      </c>
      <c r="G52" s="108"/>
    </row>
    <row r="53" spans="1:7" ht="24" customHeight="1" outlineLevel="1">
      <c r="A53" s="109" t="s">
        <v>237</v>
      </c>
      <c r="B53" s="110">
        <v>316240122.91</v>
      </c>
      <c r="C53" s="111"/>
      <c r="D53" s="110">
        <v>3632458136.4</v>
      </c>
      <c r="E53" s="110">
        <v>3214977120.3</v>
      </c>
      <c r="F53" s="110">
        <v>733721139.01</v>
      </c>
      <c r="G53" s="111"/>
    </row>
    <row r="54" spans="1:7" ht="24" customHeight="1" outlineLevel="2">
      <c r="A54" s="115" t="s">
        <v>237</v>
      </c>
      <c r="B54" s="111"/>
      <c r="C54" s="111"/>
      <c r="D54" s="110">
        <v>550965</v>
      </c>
      <c r="E54" s="110">
        <v>550965</v>
      </c>
      <c r="F54" s="111"/>
      <c r="G54" s="111"/>
    </row>
    <row r="55" spans="1:7" ht="58.5" customHeight="1" outlineLevel="2">
      <c r="A55" s="115" t="s">
        <v>238</v>
      </c>
      <c r="B55" s="110">
        <v>305345004.42</v>
      </c>
      <c r="C55" s="111"/>
      <c r="D55" s="110">
        <v>3532731403.2</v>
      </c>
      <c r="E55" s="110">
        <v>3124924328.96</v>
      </c>
      <c r="F55" s="110">
        <v>713152078.66</v>
      </c>
      <c r="G55" s="111"/>
    </row>
    <row r="56" spans="1:7" ht="58.5" customHeight="1" outlineLevel="2">
      <c r="A56" s="115" t="s">
        <v>239</v>
      </c>
      <c r="B56" s="110">
        <v>2461902.8</v>
      </c>
      <c r="C56" s="111"/>
      <c r="D56" s="110">
        <v>7879600</v>
      </c>
      <c r="E56" s="110">
        <v>1779600</v>
      </c>
      <c r="F56" s="110">
        <v>8561902.8</v>
      </c>
      <c r="G56" s="111"/>
    </row>
    <row r="57" spans="1:7" ht="58.5" customHeight="1" outlineLevel="2">
      <c r="A57" s="115" t="s">
        <v>240</v>
      </c>
      <c r="B57" s="110">
        <v>8433215.69</v>
      </c>
      <c r="C57" s="111"/>
      <c r="D57" s="110">
        <v>91296168.2</v>
      </c>
      <c r="E57" s="110">
        <v>87722226.34</v>
      </c>
      <c r="F57" s="110">
        <v>12007157.55</v>
      </c>
      <c r="G57" s="111"/>
    </row>
    <row r="58" spans="1:7" ht="24" customHeight="1" outlineLevel="1">
      <c r="A58" s="109" t="s">
        <v>241</v>
      </c>
      <c r="B58" s="110">
        <v>8085834.89</v>
      </c>
      <c r="C58" s="111"/>
      <c r="D58" s="110">
        <v>22218362</v>
      </c>
      <c r="E58" s="110">
        <v>14980076.77</v>
      </c>
      <c r="F58" s="110">
        <v>15324120.12</v>
      </c>
      <c r="G58" s="111"/>
    </row>
    <row r="59" spans="1:7" ht="24" customHeight="1">
      <c r="A59" s="106" t="s">
        <v>242</v>
      </c>
      <c r="B59" s="335">
        <v>110193231.46</v>
      </c>
      <c r="C59" s="108"/>
      <c r="D59" s="335">
        <v>25806365.76</v>
      </c>
      <c r="E59" s="335">
        <v>44102527.05</v>
      </c>
      <c r="F59" s="335">
        <v>91897070.17</v>
      </c>
      <c r="G59" s="108"/>
    </row>
    <row r="60" spans="1:7" ht="24" customHeight="1" outlineLevel="1">
      <c r="A60" s="109" t="s">
        <v>243</v>
      </c>
      <c r="B60" s="110">
        <v>110193231.46</v>
      </c>
      <c r="C60" s="111"/>
      <c r="D60" s="110">
        <v>25806365.76</v>
      </c>
      <c r="E60" s="110">
        <v>44102527.05</v>
      </c>
      <c r="F60" s="110">
        <v>91897070.17</v>
      </c>
      <c r="G60" s="111"/>
    </row>
    <row r="61" spans="1:7" ht="24" customHeight="1" outlineLevel="2">
      <c r="A61" s="115" t="s">
        <v>244</v>
      </c>
      <c r="B61" s="110">
        <v>110193231.46</v>
      </c>
      <c r="C61" s="111"/>
      <c r="D61" s="110">
        <v>25806365.76</v>
      </c>
      <c r="E61" s="110">
        <v>44102527.05</v>
      </c>
      <c r="F61" s="110">
        <v>91897070.17</v>
      </c>
      <c r="G61" s="111"/>
    </row>
    <row r="62" spans="1:7" ht="12" customHeight="1">
      <c r="A62" s="106" t="s">
        <v>245</v>
      </c>
      <c r="B62" s="335">
        <v>22195987908.52</v>
      </c>
      <c r="C62" s="108"/>
      <c r="D62" s="335">
        <v>35184307</v>
      </c>
      <c r="E62" s="335">
        <v>1163413461.4</v>
      </c>
      <c r="F62" s="335">
        <v>21067758754.12</v>
      </c>
      <c r="G62" s="108"/>
    </row>
    <row r="63" spans="1:7" ht="24" customHeight="1" outlineLevel="1">
      <c r="A63" s="112" t="s">
        <v>246</v>
      </c>
      <c r="B63" s="113">
        <v>115595496021.02</v>
      </c>
      <c r="C63" s="114"/>
      <c r="D63" s="113">
        <v>34418773</v>
      </c>
      <c r="E63" s="113">
        <v>2745857.4</v>
      </c>
      <c r="F63" s="113">
        <v>115627168936.62</v>
      </c>
      <c r="G63" s="114"/>
    </row>
    <row r="64" spans="1:7" ht="12" customHeight="1" outlineLevel="2">
      <c r="A64" s="115" t="s">
        <v>247</v>
      </c>
      <c r="B64" s="110">
        <v>1972608577.12</v>
      </c>
      <c r="C64" s="111"/>
      <c r="D64" s="110">
        <v>1800000</v>
      </c>
      <c r="E64" s="111"/>
      <c r="F64" s="110">
        <v>1974408577.12</v>
      </c>
      <c r="G64" s="111"/>
    </row>
    <row r="65" spans="1:7" ht="24" customHeight="1" outlineLevel="2">
      <c r="A65" s="115" t="s">
        <v>248</v>
      </c>
      <c r="B65" s="110">
        <v>113053963683.3</v>
      </c>
      <c r="C65" s="111"/>
      <c r="D65" s="110">
        <v>13820323</v>
      </c>
      <c r="E65" s="110">
        <v>2745857.4</v>
      </c>
      <c r="F65" s="110">
        <v>113065038148.9</v>
      </c>
      <c r="G65" s="111"/>
    </row>
    <row r="66" spans="1:7" ht="12" customHeight="1" outlineLevel="2">
      <c r="A66" s="115" t="s">
        <v>249</v>
      </c>
      <c r="B66" s="110">
        <v>364394962.88</v>
      </c>
      <c r="C66" s="111"/>
      <c r="D66" s="111"/>
      <c r="E66" s="111"/>
      <c r="F66" s="110">
        <v>364394962.88</v>
      </c>
      <c r="G66" s="111"/>
    </row>
    <row r="67" spans="1:7" ht="12" customHeight="1" outlineLevel="2">
      <c r="A67" s="115" t="s">
        <v>250</v>
      </c>
      <c r="B67" s="110">
        <v>204528797.72</v>
      </c>
      <c r="C67" s="111"/>
      <c r="D67" s="110">
        <v>18798450</v>
      </c>
      <c r="E67" s="111"/>
      <c r="F67" s="110">
        <v>223327247.72</v>
      </c>
      <c r="G67" s="111"/>
    </row>
    <row r="68" spans="1:7" ht="24" customHeight="1" outlineLevel="1">
      <c r="A68" s="112" t="s">
        <v>251</v>
      </c>
      <c r="B68" s="114"/>
      <c r="C68" s="113">
        <v>93399508112.5</v>
      </c>
      <c r="D68" s="113">
        <v>765534</v>
      </c>
      <c r="E68" s="113">
        <v>1160667604</v>
      </c>
      <c r="F68" s="114"/>
      <c r="G68" s="113">
        <v>94559410182.50002</v>
      </c>
    </row>
    <row r="69" spans="1:7" ht="24" customHeight="1" outlineLevel="2">
      <c r="A69" s="115" t="s">
        <v>252</v>
      </c>
      <c r="B69" s="111"/>
      <c r="C69" s="110">
        <v>1108046464.26</v>
      </c>
      <c r="D69" s="111"/>
      <c r="E69" s="110">
        <v>37721253</v>
      </c>
      <c r="F69" s="111"/>
      <c r="G69" s="110">
        <v>1145767717.26</v>
      </c>
    </row>
    <row r="70" spans="1:7" ht="36" customHeight="1" outlineLevel="2">
      <c r="A70" s="115" t="s">
        <v>253</v>
      </c>
      <c r="B70" s="111"/>
      <c r="C70" s="110">
        <v>92061093151.36</v>
      </c>
      <c r="D70" s="110">
        <v>765534</v>
      </c>
      <c r="E70" s="110">
        <v>1059202446</v>
      </c>
      <c r="F70" s="111"/>
      <c r="G70" s="110">
        <v>93119530063.36</v>
      </c>
    </row>
    <row r="71" spans="1:7" ht="24" customHeight="1" outlineLevel="2">
      <c r="A71" s="115" t="s">
        <v>254</v>
      </c>
      <c r="B71" s="111"/>
      <c r="C71" s="110">
        <v>149088179.92</v>
      </c>
      <c r="D71" s="111"/>
      <c r="E71" s="110">
        <v>37228988</v>
      </c>
      <c r="F71" s="111"/>
      <c r="G71" s="110">
        <v>186317167.92</v>
      </c>
    </row>
    <row r="72" spans="1:7" ht="24" customHeight="1" outlineLevel="2">
      <c r="A72" s="115" t="s">
        <v>255</v>
      </c>
      <c r="B72" s="111"/>
      <c r="C72" s="110">
        <v>81280316.96</v>
      </c>
      <c r="D72" s="111"/>
      <c r="E72" s="110">
        <v>26514917</v>
      </c>
      <c r="F72" s="111"/>
      <c r="G72" s="110">
        <v>107795233.96</v>
      </c>
    </row>
    <row r="73" spans="1:7" ht="12" customHeight="1">
      <c r="A73" s="106" t="s">
        <v>256</v>
      </c>
      <c r="B73" s="335">
        <v>109033556.93</v>
      </c>
      <c r="C73" s="108"/>
      <c r="D73" s="335">
        <v>4159216</v>
      </c>
      <c r="E73" s="335">
        <v>20469427.15</v>
      </c>
      <c r="F73" s="335">
        <v>92723345.78</v>
      </c>
      <c r="G73" s="108"/>
    </row>
    <row r="74" spans="1:7" ht="24" customHeight="1" outlineLevel="1">
      <c r="A74" s="112" t="s">
        <v>257</v>
      </c>
      <c r="B74" s="113">
        <v>150499913.18</v>
      </c>
      <c r="C74" s="114"/>
      <c r="D74" s="113">
        <v>4159216</v>
      </c>
      <c r="E74" s="114"/>
      <c r="F74" s="113">
        <v>154659129.18</v>
      </c>
      <c r="G74" s="114"/>
    </row>
    <row r="75" spans="1:7" ht="24" customHeight="1" outlineLevel="2">
      <c r="A75" s="115" t="s">
        <v>258</v>
      </c>
      <c r="B75" s="110">
        <v>140333862.78</v>
      </c>
      <c r="C75" s="111"/>
      <c r="D75" s="110">
        <v>396000</v>
      </c>
      <c r="E75" s="111"/>
      <c r="F75" s="110">
        <v>140729862.78</v>
      </c>
      <c r="G75" s="111"/>
    </row>
    <row r="76" spans="1:7" ht="12" customHeight="1" outlineLevel="2">
      <c r="A76" s="115" t="s">
        <v>259</v>
      </c>
      <c r="B76" s="110">
        <v>4272845.04</v>
      </c>
      <c r="C76" s="111"/>
      <c r="D76" s="110">
        <v>3763216</v>
      </c>
      <c r="E76" s="111"/>
      <c r="F76" s="110">
        <v>8036061.04</v>
      </c>
      <c r="G76" s="111"/>
    </row>
    <row r="77" spans="1:7" ht="24" customHeight="1" outlineLevel="2">
      <c r="A77" s="115" t="s">
        <v>260</v>
      </c>
      <c r="B77" s="110">
        <v>5893205.36</v>
      </c>
      <c r="C77" s="111"/>
      <c r="D77" s="111"/>
      <c r="E77" s="111"/>
      <c r="F77" s="110">
        <v>5893205.36</v>
      </c>
      <c r="G77" s="111"/>
    </row>
    <row r="78" spans="1:7" ht="24" customHeight="1" outlineLevel="1">
      <c r="A78" s="112" t="s">
        <v>261</v>
      </c>
      <c r="B78" s="114"/>
      <c r="C78" s="113">
        <v>41466356.25</v>
      </c>
      <c r="D78" s="114"/>
      <c r="E78" s="113">
        <v>20469427.15</v>
      </c>
      <c r="F78" s="114"/>
      <c r="G78" s="113">
        <v>61935783.4</v>
      </c>
    </row>
    <row r="79" spans="1:7" ht="24" customHeight="1" outlineLevel="2">
      <c r="A79" s="115" t="s">
        <v>262</v>
      </c>
      <c r="B79" s="111"/>
      <c r="C79" s="110">
        <v>37567691.25</v>
      </c>
      <c r="D79" s="111"/>
      <c r="E79" s="110">
        <v>19074370.96</v>
      </c>
      <c r="F79" s="111"/>
      <c r="G79" s="110">
        <v>56642062.21</v>
      </c>
    </row>
    <row r="80" spans="1:7" ht="24" customHeight="1" outlineLevel="2">
      <c r="A80" s="115" t="s">
        <v>263</v>
      </c>
      <c r="B80" s="111"/>
      <c r="C80" s="110">
        <v>1217088</v>
      </c>
      <c r="D80" s="111"/>
      <c r="E80" s="110">
        <v>584740.64</v>
      </c>
      <c r="F80" s="111"/>
      <c r="G80" s="110">
        <v>1801828.64</v>
      </c>
    </row>
    <row r="81" spans="1:7" ht="24" customHeight="1" outlineLevel="2">
      <c r="A81" s="115" t="s">
        <v>264</v>
      </c>
      <c r="B81" s="111"/>
      <c r="C81" s="110">
        <v>2681577</v>
      </c>
      <c r="D81" s="111"/>
      <c r="E81" s="110">
        <v>810315.55</v>
      </c>
      <c r="F81" s="111"/>
      <c r="G81" s="110">
        <v>3491892.55</v>
      </c>
    </row>
    <row r="82" spans="1:7" ht="24" customHeight="1">
      <c r="A82" s="106" t="s">
        <v>265</v>
      </c>
      <c r="B82" s="335">
        <v>309258710.53</v>
      </c>
      <c r="C82" s="108"/>
      <c r="D82" s="335">
        <v>1354142760.12</v>
      </c>
      <c r="E82" s="108"/>
      <c r="F82" s="335">
        <v>1663401470.65</v>
      </c>
      <c r="G82" s="108"/>
    </row>
    <row r="83" spans="1:7" ht="24" customHeight="1" outlineLevel="1">
      <c r="A83" s="109" t="s">
        <v>590</v>
      </c>
      <c r="B83" s="111"/>
      <c r="C83" s="111"/>
      <c r="D83" s="110">
        <v>36120000</v>
      </c>
      <c r="E83" s="111"/>
      <c r="F83" s="110">
        <v>36120000</v>
      </c>
      <c r="G83" s="111"/>
    </row>
    <row r="84" spans="1:7" ht="36" customHeight="1" outlineLevel="2">
      <c r="A84" s="115" t="s">
        <v>649</v>
      </c>
      <c r="B84" s="111"/>
      <c r="C84" s="111"/>
      <c r="D84" s="110">
        <v>36120000</v>
      </c>
      <c r="E84" s="111"/>
      <c r="F84" s="110">
        <v>36120000</v>
      </c>
      <c r="G84" s="111"/>
    </row>
    <row r="85" spans="1:7" ht="24" customHeight="1" outlineLevel="1">
      <c r="A85" s="109" t="s">
        <v>266</v>
      </c>
      <c r="B85" s="110">
        <v>309258710.53</v>
      </c>
      <c r="C85" s="111"/>
      <c r="D85" s="110">
        <v>1318022760.12</v>
      </c>
      <c r="E85" s="111"/>
      <c r="F85" s="110">
        <v>1627281470.65</v>
      </c>
      <c r="G85" s="111"/>
    </row>
    <row r="86" spans="1:7" ht="24" customHeight="1" outlineLevel="2">
      <c r="A86" s="115" t="s">
        <v>267</v>
      </c>
      <c r="B86" s="110">
        <v>309258710.53</v>
      </c>
      <c r="C86" s="111"/>
      <c r="D86" s="110">
        <v>1318022760.12</v>
      </c>
      <c r="E86" s="111"/>
      <c r="F86" s="110">
        <v>1627281470.65</v>
      </c>
      <c r="G86" s="111"/>
    </row>
    <row r="87" spans="1:7" ht="24" customHeight="1">
      <c r="A87" s="106" t="s">
        <v>268</v>
      </c>
      <c r="B87" s="108"/>
      <c r="C87" s="335">
        <v>1019124171.36</v>
      </c>
      <c r="D87" s="335">
        <v>2305175846.53</v>
      </c>
      <c r="E87" s="335">
        <v>1418524724.49</v>
      </c>
      <c r="F87" s="108"/>
      <c r="G87" s="335">
        <v>132473049.32</v>
      </c>
    </row>
    <row r="88" spans="1:7" ht="48" customHeight="1" outlineLevel="1">
      <c r="A88" s="109" t="s">
        <v>269</v>
      </c>
      <c r="B88" s="111"/>
      <c r="C88" s="110">
        <v>20142102.14</v>
      </c>
      <c r="D88" s="110">
        <v>434677065.24</v>
      </c>
      <c r="E88" s="110">
        <v>428741224.5</v>
      </c>
      <c r="F88" s="111"/>
      <c r="G88" s="110">
        <v>14206261.4</v>
      </c>
    </row>
    <row r="89" spans="1:7" ht="24" customHeight="1" outlineLevel="2">
      <c r="A89" s="115" t="s">
        <v>270</v>
      </c>
      <c r="B89" s="111"/>
      <c r="C89" s="110">
        <v>9366008.67</v>
      </c>
      <c r="D89" s="110">
        <v>428420000</v>
      </c>
      <c r="E89" s="110">
        <v>428420000</v>
      </c>
      <c r="F89" s="111"/>
      <c r="G89" s="110">
        <v>9366008.67</v>
      </c>
    </row>
    <row r="90" spans="1:7" ht="24" customHeight="1" outlineLevel="2">
      <c r="A90" s="115" t="s">
        <v>271</v>
      </c>
      <c r="B90" s="111"/>
      <c r="C90" s="110">
        <v>10776093.47</v>
      </c>
      <c r="D90" s="110">
        <v>6257065.24</v>
      </c>
      <c r="E90" s="110">
        <v>321224.5</v>
      </c>
      <c r="F90" s="111"/>
      <c r="G90" s="110">
        <v>4840252.73</v>
      </c>
    </row>
    <row r="91" spans="1:7" ht="36" customHeight="1" outlineLevel="1">
      <c r="A91" s="112" t="s">
        <v>272</v>
      </c>
      <c r="B91" s="114"/>
      <c r="C91" s="113">
        <v>998982069.22</v>
      </c>
      <c r="D91" s="113">
        <v>1870498781.29</v>
      </c>
      <c r="E91" s="113">
        <v>989783499.99</v>
      </c>
      <c r="F91" s="114"/>
      <c r="G91" s="113">
        <v>118266787.92</v>
      </c>
    </row>
    <row r="92" spans="1:7" ht="36" customHeight="1" outlineLevel="2">
      <c r="A92" s="119" t="s">
        <v>272</v>
      </c>
      <c r="B92" s="114"/>
      <c r="C92" s="113">
        <v>2383127.64</v>
      </c>
      <c r="D92" s="113">
        <v>2383127.64</v>
      </c>
      <c r="E92" s="114"/>
      <c r="F92" s="114"/>
      <c r="G92" s="114"/>
    </row>
    <row r="93" spans="1:7" ht="24" customHeight="1" outlineLevel="2">
      <c r="A93" s="115" t="s">
        <v>364</v>
      </c>
      <c r="B93" s="111"/>
      <c r="C93" s="110">
        <v>996598941.58</v>
      </c>
      <c r="D93" s="110">
        <v>1868115653.65</v>
      </c>
      <c r="E93" s="110">
        <v>989783499.99</v>
      </c>
      <c r="F93" s="111"/>
      <c r="G93" s="110">
        <v>118266787.92</v>
      </c>
    </row>
    <row r="94" spans="1:7" ht="12" customHeight="1">
      <c r="A94" s="106" t="s">
        <v>273</v>
      </c>
      <c r="B94" s="108"/>
      <c r="C94" s="335">
        <v>3747580.45</v>
      </c>
      <c r="D94" s="335">
        <v>1641426673.99</v>
      </c>
      <c r="E94" s="335">
        <v>1689450270.36</v>
      </c>
      <c r="F94" s="108"/>
      <c r="G94" s="335">
        <v>51771176.82</v>
      </c>
    </row>
    <row r="95" spans="1:7" ht="36" customHeight="1" outlineLevel="1">
      <c r="A95" s="109" t="s">
        <v>274</v>
      </c>
      <c r="B95" s="111"/>
      <c r="C95" s="111"/>
      <c r="D95" s="110">
        <v>280286718</v>
      </c>
      <c r="E95" s="110">
        <v>280286718</v>
      </c>
      <c r="F95" s="111"/>
      <c r="G95" s="111"/>
    </row>
    <row r="96" spans="1:7" ht="24" customHeight="1" outlineLevel="1">
      <c r="A96" s="109" t="s">
        <v>275</v>
      </c>
      <c r="B96" s="111"/>
      <c r="C96" s="110">
        <v>963140</v>
      </c>
      <c r="D96" s="110">
        <v>77799471.6</v>
      </c>
      <c r="E96" s="110">
        <v>87303094.6</v>
      </c>
      <c r="F96" s="111"/>
      <c r="G96" s="110">
        <v>10466763</v>
      </c>
    </row>
    <row r="97" spans="1:7" ht="24" customHeight="1" outlineLevel="1">
      <c r="A97" s="109" t="s">
        <v>276</v>
      </c>
      <c r="B97" s="111"/>
      <c r="C97" s="111"/>
      <c r="D97" s="110">
        <v>916502801.99</v>
      </c>
      <c r="E97" s="110">
        <v>949243525.81</v>
      </c>
      <c r="F97" s="111"/>
      <c r="G97" s="110">
        <v>32740723.82</v>
      </c>
    </row>
    <row r="98" spans="1:7" ht="12" customHeight="1" outlineLevel="1">
      <c r="A98" s="109" t="s">
        <v>277</v>
      </c>
      <c r="B98" s="111"/>
      <c r="C98" s="110">
        <v>1389288</v>
      </c>
      <c r="D98" s="110">
        <v>63435139</v>
      </c>
      <c r="E98" s="110">
        <v>70609541</v>
      </c>
      <c r="F98" s="111"/>
      <c r="G98" s="110">
        <v>8563690</v>
      </c>
    </row>
    <row r="99" spans="1:7" ht="12" customHeight="1" outlineLevel="1">
      <c r="A99" s="109" t="s">
        <v>278</v>
      </c>
      <c r="B99" s="111"/>
      <c r="C99" s="111"/>
      <c r="D99" s="110">
        <v>5433460</v>
      </c>
      <c r="E99" s="110">
        <v>5433460</v>
      </c>
      <c r="F99" s="111"/>
      <c r="G99" s="111"/>
    </row>
    <row r="100" spans="1:7" ht="24" customHeight="1" outlineLevel="1">
      <c r="A100" s="109" t="s">
        <v>279</v>
      </c>
      <c r="B100" s="111"/>
      <c r="C100" s="110">
        <v>4327</v>
      </c>
      <c r="D100" s="110">
        <v>1617607</v>
      </c>
      <c r="E100" s="110">
        <v>1613280</v>
      </c>
      <c r="F100" s="111"/>
      <c r="G100" s="111"/>
    </row>
    <row r="101" spans="1:7" ht="12" customHeight="1" outlineLevel="1">
      <c r="A101" s="109" t="s">
        <v>280</v>
      </c>
      <c r="B101" s="111"/>
      <c r="C101" s="110">
        <v>1390825.45</v>
      </c>
      <c r="D101" s="110">
        <v>294826489</v>
      </c>
      <c r="E101" s="110">
        <v>293435663.55</v>
      </c>
      <c r="F101" s="111"/>
      <c r="G101" s="111"/>
    </row>
    <row r="102" spans="1:7" ht="12" customHeight="1" outlineLevel="1">
      <c r="A102" s="109" t="s">
        <v>281</v>
      </c>
      <c r="B102" s="111"/>
      <c r="C102" s="111"/>
      <c r="D102" s="110">
        <v>1524987.4</v>
      </c>
      <c r="E102" s="110">
        <v>1524987.4</v>
      </c>
      <c r="F102" s="111"/>
      <c r="G102" s="111"/>
    </row>
    <row r="103" spans="1:7" ht="36" customHeight="1">
      <c r="A103" s="106" t="s">
        <v>282</v>
      </c>
      <c r="B103" s="108"/>
      <c r="C103" s="335">
        <v>23092639.2</v>
      </c>
      <c r="D103" s="335">
        <v>152173721.19</v>
      </c>
      <c r="E103" s="335">
        <v>147536823.12</v>
      </c>
      <c r="F103" s="108"/>
      <c r="G103" s="335">
        <v>18455741.13</v>
      </c>
    </row>
    <row r="104" spans="1:7" ht="24" customHeight="1" outlineLevel="1">
      <c r="A104" s="109" t="s">
        <v>283</v>
      </c>
      <c r="B104" s="111"/>
      <c r="C104" s="110">
        <v>5123294.09</v>
      </c>
      <c r="D104" s="110">
        <v>41201932.91</v>
      </c>
      <c r="E104" s="110">
        <v>40635979.84</v>
      </c>
      <c r="F104" s="111"/>
      <c r="G104" s="110">
        <v>4557341.02</v>
      </c>
    </row>
    <row r="105" spans="1:7" ht="24" customHeight="1" outlineLevel="1">
      <c r="A105" s="109" t="s">
        <v>284</v>
      </c>
      <c r="B105" s="111"/>
      <c r="C105" s="110">
        <v>17969345.11</v>
      </c>
      <c r="D105" s="110">
        <v>110971788.28</v>
      </c>
      <c r="E105" s="110">
        <v>106900843.28</v>
      </c>
      <c r="F105" s="111"/>
      <c r="G105" s="110">
        <v>13898400.11</v>
      </c>
    </row>
    <row r="106" spans="1:7" ht="24" customHeight="1">
      <c r="A106" s="106" t="s">
        <v>285</v>
      </c>
      <c r="B106" s="108"/>
      <c r="C106" s="335">
        <v>2282985925.42</v>
      </c>
      <c r="D106" s="335">
        <v>9292018259.330002</v>
      </c>
      <c r="E106" s="335">
        <v>7670256268.14</v>
      </c>
      <c r="F106" s="108"/>
      <c r="G106" s="335">
        <v>661223934.23</v>
      </c>
    </row>
    <row r="107" spans="1:7" ht="36" customHeight="1" outlineLevel="1">
      <c r="A107" s="112" t="s">
        <v>286</v>
      </c>
      <c r="B107" s="114"/>
      <c r="C107" s="113">
        <v>2119618722.12</v>
      </c>
      <c r="D107" s="113">
        <v>7697993617.65</v>
      </c>
      <c r="E107" s="113">
        <v>6089186636.2</v>
      </c>
      <c r="F107" s="114"/>
      <c r="G107" s="113">
        <v>510811740.67</v>
      </c>
    </row>
    <row r="108" spans="1:7" ht="36" customHeight="1" outlineLevel="2">
      <c r="A108" s="115" t="s">
        <v>287</v>
      </c>
      <c r="B108" s="111"/>
      <c r="C108" s="110">
        <v>29067852.25</v>
      </c>
      <c r="D108" s="110">
        <v>519572526.4</v>
      </c>
      <c r="E108" s="110">
        <v>523052327.53</v>
      </c>
      <c r="F108" s="111"/>
      <c r="G108" s="110">
        <v>32547653.38</v>
      </c>
    </row>
    <row r="109" spans="1:7" ht="36" customHeight="1" outlineLevel="2">
      <c r="A109" s="115" t="s">
        <v>288</v>
      </c>
      <c r="B109" s="111"/>
      <c r="C109" s="110">
        <v>1949796152.84</v>
      </c>
      <c r="D109" s="110">
        <v>2694161456.84</v>
      </c>
      <c r="E109" s="110">
        <v>1027257517.82</v>
      </c>
      <c r="F109" s="111"/>
      <c r="G109" s="110">
        <v>282892213.82</v>
      </c>
    </row>
    <row r="110" spans="1:7" ht="36" customHeight="1" outlineLevel="2">
      <c r="A110" s="115" t="s">
        <v>289</v>
      </c>
      <c r="B110" s="111"/>
      <c r="C110" s="110">
        <v>140754717.03</v>
      </c>
      <c r="D110" s="110">
        <v>4484259634.41</v>
      </c>
      <c r="E110" s="110">
        <v>4538876790.849999</v>
      </c>
      <c r="F110" s="111"/>
      <c r="G110" s="110">
        <v>195371873.47</v>
      </c>
    </row>
    <row r="111" spans="1:7" ht="24" customHeight="1" outlineLevel="1">
      <c r="A111" s="109" t="s">
        <v>290</v>
      </c>
      <c r="B111" s="111"/>
      <c r="C111" s="110">
        <v>38815311.82</v>
      </c>
      <c r="D111" s="110">
        <v>1162396583.21</v>
      </c>
      <c r="E111" s="110">
        <v>1184340768.9</v>
      </c>
      <c r="F111" s="111"/>
      <c r="G111" s="110">
        <v>60759497.51</v>
      </c>
    </row>
    <row r="112" spans="1:7" ht="24" customHeight="1" outlineLevel="1">
      <c r="A112" s="109" t="s">
        <v>291</v>
      </c>
      <c r="B112" s="111"/>
      <c r="C112" s="110">
        <v>78368792.12</v>
      </c>
      <c r="D112" s="110">
        <v>260717200</v>
      </c>
      <c r="E112" s="110">
        <v>225183577.55</v>
      </c>
      <c r="F112" s="111"/>
      <c r="G112" s="110">
        <v>42835169.67</v>
      </c>
    </row>
    <row r="113" spans="1:7" ht="24" customHeight="1" outlineLevel="2">
      <c r="A113" s="115" t="s">
        <v>360</v>
      </c>
      <c r="B113" s="111"/>
      <c r="C113" s="110">
        <v>78368792.12</v>
      </c>
      <c r="D113" s="110">
        <v>260717200</v>
      </c>
      <c r="E113" s="110">
        <v>225183577.55</v>
      </c>
      <c r="F113" s="111"/>
      <c r="G113" s="110">
        <v>42835169.67</v>
      </c>
    </row>
    <row r="114" spans="1:7" ht="24" customHeight="1" outlineLevel="1">
      <c r="A114" s="112" t="s">
        <v>292</v>
      </c>
      <c r="B114" s="114"/>
      <c r="C114" s="113">
        <v>46183099.36</v>
      </c>
      <c r="D114" s="113">
        <v>170910858.47</v>
      </c>
      <c r="E114" s="113">
        <v>171545285.49</v>
      </c>
      <c r="F114" s="114"/>
      <c r="G114" s="113">
        <v>46817526.38</v>
      </c>
    </row>
    <row r="115" spans="1:7" ht="36" customHeight="1" outlineLevel="2">
      <c r="A115" s="115" t="s">
        <v>293</v>
      </c>
      <c r="B115" s="111"/>
      <c r="C115" s="110">
        <v>2421554.84</v>
      </c>
      <c r="D115" s="110">
        <v>3624540.25</v>
      </c>
      <c r="E115" s="110">
        <v>3313927.3</v>
      </c>
      <c r="F115" s="111"/>
      <c r="G115" s="110">
        <v>2110941.89</v>
      </c>
    </row>
    <row r="116" spans="1:7" ht="24" customHeight="1" outlineLevel="2">
      <c r="A116" s="115" t="s">
        <v>294</v>
      </c>
      <c r="B116" s="111"/>
      <c r="C116" s="110">
        <v>1275220</v>
      </c>
      <c r="D116" s="110">
        <v>10731704.8</v>
      </c>
      <c r="E116" s="110">
        <v>10429723.8</v>
      </c>
      <c r="F116" s="111"/>
      <c r="G116" s="110">
        <v>973239</v>
      </c>
    </row>
    <row r="117" spans="1:7" ht="24" customHeight="1" outlineLevel="2">
      <c r="A117" s="115" t="s">
        <v>295</v>
      </c>
      <c r="B117" s="111"/>
      <c r="C117" s="110">
        <v>653962</v>
      </c>
      <c r="D117" s="110">
        <v>10521416.56</v>
      </c>
      <c r="E117" s="110">
        <v>10672345.26</v>
      </c>
      <c r="F117" s="111"/>
      <c r="G117" s="110">
        <v>804890.7</v>
      </c>
    </row>
    <row r="118" spans="1:7" ht="24" customHeight="1" outlineLevel="2">
      <c r="A118" s="115" t="s">
        <v>296</v>
      </c>
      <c r="B118" s="111"/>
      <c r="C118" s="110">
        <v>39028331.16</v>
      </c>
      <c r="D118" s="110">
        <v>124002585.86</v>
      </c>
      <c r="E118" s="110">
        <v>125308152.03</v>
      </c>
      <c r="F118" s="111"/>
      <c r="G118" s="110">
        <v>40333897.33</v>
      </c>
    </row>
    <row r="119" spans="1:7" ht="24" customHeight="1" outlineLevel="2">
      <c r="A119" s="115" t="s">
        <v>297</v>
      </c>
      <c r="B119" s="111"/>
      <c r="C119" s="110">
        <v>2118998.36</v>
      </c>
      <c r="D119" s="110">
        <v>18965643</v>
      </c>
      <c r="E119" s="110">
        <v>18807520.1</v>
      </c>
      <c r="F119" s="111"/>
      <c r="G119" s="110">
        <v>1960875.46</v>
      </c>
    </row>
    <row r="120" spans="1:7" ht="24" customHeight="1" outlineLevel="2">
      <c r="A120" s="115" t="s">
        <v>298</v>
      </c>
      <c r="B120" s="111"/>
      <c r="C120" s="110">
        <v>685033</v>
      </c>
      <c r="D120" s="110">
        <v>3064968</v>
      </c>
      <c r="E120" s="110">
        <v>3013617</v>
      </c>
      <c r="F120" s="111"/>
      <c r="G120" s="110">
        <v>633682</v>
      </c>
    </row>
    <row r="121" spans="1:7" ht="24" customHeight="1">
      <c r="A121" s="106" t="s">
        <v>299</v>
      </c>
      <c r="B121" s="108"/>
      <c r="C121" s="335">
        <v>112982721</v>
      </c>
      <c r="D121" s="108"/>
      <c r="E121" s="335">
        <v>1131172</v>
      </c>
      <c r="F121" s="108"/>
      <c r="G121" s="335">
        <v>114113893</v>
      </c>
    </row>
    <row r="122" spans="1:7" ht="36" customHeight="1" outlineLevel="1">
      <c r="A122" s="109" t="s">
        <v>300</v>
      </c>
      <c r="B122" s="111"/>
      <c r="C122" s="110">
        <v>112982721</v>
      </c>
      <c r="D122" s="111"/>
      <c r="E122" s="110">
        <v>1131172</v>
      </c>
      <c r="F122" s="111"/>
      <c r="G122" s="110">
        <v>114113893</v>
      </c>
    </row>
    <row r="123" spans="1:7" ht="36" customHeight="1" outlineLevel="2">
      <c r="A123" s="115" t="s">
        <v>361</v>
      </c>
      <c r="B123" s="111"/>
      <c r="C123" s="110">
        <v>112982721</v>
      </c>
      <c r="D123" s="111"/>
      <c r="E123" s="110">
        <v>1131172</v>
      </c>
      <c r="F123" s="111"/>
      <c r="G123" s="110">
        <v>114113893</v>
      </c>
    </row>
    <row r="124" spans="1:7" ht="24" customHeight="1">
      <c r="A124" s="106" t="s">
        <v>301</v>
      </c>
      <c r="B124" s="108"/>
      <c r="C124" s="335">
        <v>692541251.43</v>
      </c>
      <c r="D124" s="335">
        <v>7801883643.690001</v>
      </c>
      <c r="E124" s="335">
        <v>7885927232.13</v>
      </c>
      <c r="F124" s="108"/>
      <c r="G124" s="335">
        <v>776584839.87</v>
      </c>
    </row>
    <row r="125" spans="1:7" ht="24" customHeight="1" outlineLevel="1">
      <c r="A125" s="109" t="s">
        <v>302</v>
      </c>
      <c r="B125" s="111"/>
      <c r="C125" s="110">
        <v>692541251.43</v>
      </c>
      <c r="D125" s="110">
        <v>7801883643.690001</v>
      </c>
      <c r="E125" s="110">
        <v>7885927232.13</v>
      </c>
      <c r="F125" s="111"/>
      <c r="G125" s="110">
        <v>776584839.87</v>
      </c>
    </row>
    <row r="126" spans="1:7" ht="24" customHeight="1" outlineLevel="2">
      <c r="A126" s="115" t="s">
        <v>302</v>
      </c>
      <c r="B126" s="111"/>
      <c r="C126" s="110">
        <v>20000</v>
      </c>
      <c r="D126" s="111"/>
      <c r="E126" s="111"/>
      <c r="F126" s="111"/>
      <c r="G126" s="110">
        <v>20000</v>
      </c>
    </row>
    <row r="127" spans="1:7" ht="48" customHeight="1" outlineLevel="2">
      <c r="A127" s="115" t="s">
        <v>303</v>
      </c>
      <c r="B127" s="111"/>
      <c r="C127" s="110">
        <v>666969945.83</v>
      </c>
      <c r="D127" s="110">
        <v>7576956942.59</v>
      </c>
      <c r="E127" s="110">
        <v>7655314279.020001</v>
      </c>
      <c r="F127" s="111"/>
      <c r="G127" s="110">
        <v>745327282.26</v>
      </c>
    </row>
    <row r="128" spans="1:7" ht="12" customHeight="1" outlineLevel="2">
      <c r="A128" s="115" t="s">
        <v>304</v>
      </c>
      <c r="B128" s="111"/>
      <c r="C128" s="110">
        <v>25551305.6</v>
      </c>
      <c r="D128" s="110">
        <v>224926701.1</v>
      </c>
      <c r="E128" s="110">
        <v>230612953.11</v>
      </c>
      <c r="F128" s="111"/>
      <c r="G128" s="110">
        <v>31237557.61</v>
      </c>
    </row>
    <row r="129" spans="1:7" ht="24" customHeight="1">
      <c r="A129" s="106" t="s">
        <v>305</v>
      </c>
      <c r="B129" s="108"/>
      <c r="C129" s="335">
        <v>3970838197.16</v>
      </c>
      <c r="D129" s="335">
        <v>2859862878.52</v>
      </c>
      <c r="E129" s="335">
        <v>5188259722.4</v>
      </c>
      <c r="F129" s="108"/>
      <c r="G129" s="335">
        <v>6299235041.039999</v>
      </c>
    </row>
    <row r="130" spans="1:7" ht="58.5" customHeight="1" outlineLevel="1">
      <c r="A130" s="109" t="s">
        <v>306</v>
      </c>
      <c r="B130" s="111"/>
      <c r="C130" s="110">
        <v>2262679428.15</v>
      </c>
      <c r="D130" s="110">
        <v>2711479222.4</v>
      </c>
      <c r="E130" s="110">
        <v>5090222426</v>
      </c>
      <c r="F130" s="111"/>
      <c r="G130" s="110">
        <v>4641422631.750001</v>
      </c>
    </row>
    <row r="131" spans="1:7" ht="24" customHeight="1" outlineLevel="2">
      <c r="A131" s="115" t="s">
        <v>307</v>
      </c>
      <c r="B131" s="111"/>
      <c r="C131" s="110">
        <v>582679428.15</v>
      </c>
      <c r="D131" s="110">
        <v>604729222.4</v>
      </c>
      <c r="E131" s="110">
        <v>611252426</v>
      </c>
      <c r="F131" s="111"/>
      <c r="G131" s="110">
        <v>589202631.75</v>
      </c>
    </row>
    <row r="132" spans="1:7" ht="12" customHeight="1" outlineLevel="2">
      <c r="A132" s="115" t="s">
        <v>308</v>
      </c>
      <c r="B132" s="111"/>
      <c r="C132" s="110">
        <v>1680000000</v>
      </c>
      <c r="D132" s="110">
        <v>2106750000</v>
      </c>
      <c r="E132" s="110">
        <v>4478970000</v>
      </c>
      <c r="F132" s="111"/>
      <c r="G132" s="110">
        <v>4052220000</v>
      </c>
    </row>
    <row r="133" spans="1:7" ht="24" customHeight="1" outlineLevel="1">
      <c r="A133" s="112" t="s">
        <v>309</v>
      </c>
      <c r="B133" s="114"/>
      <c r="C133" s="113">
        <v>1708158769.01</v>
      </c>
      <c r="D133" s="113">
        <v>148383656.12</v>
      </c>
      <c r="E133" s="113">
        <v>98037296.4</v>
      </c>
      <c r="F133" s="114"/>
      <c r="G133" s="113">
        <v>1657812409.29</v>
      </c>
    </row>
    <row r="134" spans="1:7" ht="24" customHeight="1" outlineLevel="2">
      <c r="A134" s="115" t="s">
        <v>310</v>
      </c>
      <c r="B134" s="111"/>
      <c r="C134" s="110">
        <v>43999948</v>
      </c>
      <c r="D134" s="111"/>
      <c r="E134" s="111"/>
      <c r="F134" s="111"/>
      <c r="G134" s="110">
        <v>43999948</v>
      </c>
    </row>
    <row r="135" spans="1:7" ht="12" customHeight="1" outlineLevel="2">
      <c r="A135" s="115" t="s">
        <v>311</v>
      </c>
      <c r="B135" s="111"/>
      <c r="C135" s="110">
        <v>1664158821.01</v>
      </c>
      <c r="D135" s="110">
        <v>148383656.12</v>
      </c>
      <c r="E135" s="110">
        <v>98037296.4</v>
      </c>
      <c r="F135" s="111"/>
      <c r="G135" s="110">
        <v>1613812461.29</v>
      </c>
    </row>
    <row r="136" spans="1:7" ht="24" customHeight="1">
      <c r="A136" s="106" t="s">
        <v>312</v>
      </c>
      <c r="B136" s="108"/>
      <c r="C136" s="335">
        <v>57306299</v>
      </c>
      <c r="D136" s="108"/>
      <c r="E136" s="335">
        <v>2387601</v>
      </c>
      <c r="F136" s="108"/>
      <c r="G136" s="335">
        <v>59693900</v>
      </c>
    </row>
    <row r="137" spans="1:7" ht="36" customHeight="1" outlineLevel="1">
      <c r="A137" s="109" t="s">
        <v>313</v>
      </c>
      <c r="B137" s="111"/>
      <c r="C137" s="110">
        <v>57306299</v>
      </c>
      <c r="D137" s="111"/>
      <c r="E137" s="110">
        <v>2387601</v>
      </c>
      <c r="F137" s="111"/>
      <c r="G137" s="110">
        <v>59693900</v>
      </c>
    </row>
    <row r="138" spans="1:7" ht="24" customHeight="1">
      <c r="A138" s="106" t="s">
        <v>314</v>
      </c>
      <c r="B138" s="108"/>
      <c r="C138" s="335">
        <v>2865932800</v>
      </c>
      <c r="D138" s="108"/>
      <c r="E138" s="335">
        <v>30547560</v>
      </c>
      <c r="F138" s="108"/>
      <c r="G138" s="335">
        <v>2896480360</v>
      </c>
    </row>
    <row r="139" spans="1:7" ht="48" customHeight="1" outlineLevel="1">
      <c r="A139" s="109" t="s">
        <v>315</v>
      </c>
      <c r="B139" s="111"/>
      <c r="C139" s="110">
        <v>2865932800</v>
      </c>
      <c r="D139" s="111"/>
      <c r="E139" s="110">
        <v>30547560</v>
      </c>
      <c r="F139" s="111"/>
      <c r="G139" s="110">
        <v>2896480360</v>
      </c>
    </row>
    <row r="140" spans="1:7" ht="12" customHeight="1">
      <c r="A140" s="106" t="s">
        <v>316</v>
      </c>
      <c r="B140" s="108"/>
      <c r="C140" s="335">
        <v>1188015776.5</v>
      </c>
      <c r="D140" s="108"/>
      <c r="E140" s="108"/>
      <c r="F140" s="108"/>
      <c r="G140" s="335">
        <v>1188015776.5</v>
      </c>
    </row>
    <row r="141" spans="1:7" ht="12" customHeight="1" outlineLevel="1">
      <c r="A141" s="109" t="s">
        <v>317</v>
      </c>
      <c r="B141" s="111"/>
      <c r="C141" s="110">
        <v>12319172</v>
      </c>
      <c r="D141" s="111"/>
      <c r="E141" s="111"/>
      <c r="F141" s="111"/>
      <c r="G141" s="110">
        <v>12319172</v>
      </c>
    </row>
    <row r="142" spans="1:7" ht="12" customHeight="1" outlineLevel="1">
      <c r="A142" s="109" t="s">
        <v>318</v>
      </c>
      <c r="B142" s="111"/>
      <c r="C142" s="110">
        <v>1175696604.5</v>
      </c>
      <c r="D142" s="111"/>
      <c r="E142" s="111"/>
      <c r="F142" s="111"/>
      <c r="G142" s="110">
        <v>1175696604.5</v>
      </c>
    </row>
    <row r="143" spans="1:7" ht="24" customHeight="1">
      <c r="A143" s="106" t="s">
        <v>319</v>
      </c>
      <c r="B143" s="108"/>
      <c r="C143" s="120">
        <v>-38923576.4</v>
      </c>
      <c r="D143" s="108"/>
      <c r="E143" s="108"/>
      <c r="F143" s="108"/>
      <c r="G143" s="120">
        <v>-38923576.4</v>
      </c>
    </row>
    <row r="144" spans="1:7" ht="24" customHeight="1" outlineLevel="1">
      <c r="A144" s="109" t="s">
        <v>320</v>
      </c>
      <c r="B144" s="111"/>
      <c r="C144" s="118">
        <v>-38923576.4</v>
      </c>
      <c r="D144" s="111"/>
      <c r="E144" s="111"/>
      <c r="F144" s="111"/>
      <c r="G144" s="118">
        <v>-38923576.4</v>
      </c>
    </row>
    <row r="145" spans="1:7" ht="12" customHeight="1">
      <c r="A145" s="106" t="s">
        <v>365</v>
      </c>
      <c r="B145" s="108"/>
      <c r="C145" s="335">
        <v>524746000</v>
      </c>
      <c r="D145" s="108"/>
      <c r="E145" s="108"/>
      <c r="F145" s="108"/>
      <c r="G145" s="335">
        <v>524746000</v>
      </c>
    </row>
    <row r="146" spans="1:7" ht="12" customHeight="1" outlineLevel="1">
      <c r="A146" s="109" t="s">
        <v>366</v>
      </c>
      <c r="B146" s="111"/>
      <c r="C146" s="110">
        <v>524746000</v>
      </c>
      <c r="D146" s="111"/>
      <c r="E146" s="111"/>
      <c r="F146" s="111"/>
      <c r="G146" s="110">
        <v>524746000</v>
      </c>
    </row>
    <row r="147" spans="1:7" ht="12" customHeight="1">
      <c r="A147" s="106" t="s">
        <v>321</v>
      </c>
      <c r="B147" s="108"/>
      <c r="C147" s="335">
        <v>7754455499.2</v>
      </c>
      <c r="D147" s="335">
        <v>517543915</v>
      </c>
      <c r="E147" s="108"/>
      <c r="F147" s="108"/>
      <c r="G147" s="335">
        <v>7236911584.2</v>
      </c>
    </row>
    <row r="148" spans="1:7" ht="36" customHeight="1" outlineLevel="1">
      <c r="A148" s="109" t="s">
        <v>322</v>
      </c>
      <c r="B148" s="111"/>
      <c r="C148" s="110">
        <v>7754455499.2</v>
      </c>
      <c r="D148" s="110">
        <v>517543915</v>
      </c>
      <c r="E148" s="111"/>
      <c r="F148" s="111"/>
      <c r="G148" s="110">
        <v>7236911584.2</v>
      </c>
    </row>
    <row r="149" spans="1:7" ht="24" customHeight="1">
      <c r="A149" s="106" t="s">
        <v>323</v>
      </c>
      <c r="B149" s="108"/>
      <c r="C149" s="335">
        <v>5024691277.38</v>
      </c>
      <c r="D149" s="335">
        <v>1585046259.47</v>
      </c>
      <c r="E149" s="335">
        <v>2801750586.25</v>
      </c>
      <c r="F149" s="108"/>
      <c r="G149" s="335">
        <v>6241395604.16</v>
      </c>
    </row>
    <row r="150" spans="1:7" ht="36" customHeight="1" outlineLevel="1">
      <c r="A150" s="109" t="s">
        <v>324</v>
      </c>
      <c r="B150" s="111"/>
      <c r="C150" s="110">
        <v>1156626259.47</v>
      </c>
      <c r="D150" s="110">
        <v>1156626259.47</v>
      </c>
      <c r="E150" s="110">
        <v>1127580411.78</v>
      </c>
      <c r="F150" s="111"/>
      <c r="G150" s="110">
        <v>1127580411.78</v>
      </c>
    </row>
    <row r="151" spans="1:7" ht="36" customHeight="1" outlineLevel="1">
      <c r="A151" s="109" t="s">
        <v>367</v>
      </c>
      <c r="B151" s="111"/>
      <c r="C151" s="110">
        <v>3868065017.91</v>
      </c>
      <c r="D151" s="110">
        <v>428420000</v>
      </c>
      <c r="E151" s="110">
        <v>1674170174.47</v>
      </c>
      <c r="F151" s="111"/>
      <c r="G151" s="110">
        <v>5113815192.38</v>
      </c>
    </row>
    <row r="152" spans="1:7" ht="24" customHeight="1">
      <c r="A152" s="106" t="s">
        <v>325</v>
      </c>
      <c r="B152" s="108"/>
      <c r="C152" s="108"/>
      <c r="D152" s="335">
        <v>8018336188.56</v>
      </c>
      <c r="E152" s="335">
        <v>8018336188.56</v>
      </c>
      <c r="F152" s="108"/>
      <c r="G152" s="108"/>
    </row>
    <row r="153" spans="1:7" ht="24" customHeight="1" outlineLevel="1">
      <c r="A153" s="109" t="s">
        <v>326</v>
      </c>
      <c r="B153" s="111"/>
      <c r="C153" s="111"/>
      <c r="D153" s="110">
        <v>8018336188.56</v>
      </c>
      <c r="E153" s="110">
        <v>8018336188.56</v>
      </c>
      <c r="F153" s="111"/>
      <c r="G153" s="111"/>
    </row>
    <row r="154" spans="1:7" ht="24" customHeight="1">
      <c r="A154" s="106" t="s">
        <v>327</v>
      </c>
      <c r="B154" s="108"/>
      <c r="C154" s="108"/>
      <c r="D154" s="335">
        <v>7873459382.28</v>
      </c>
      <c r="E154" s="335">
        <v>7873459382.28</v>
      </c>
      <c r="F154" s="108"/>
      <c r="G154" s="108"/>
    </row>
    <row r="155" spans="1:7" ht="24" customHeight="1" outlineLevel="1">
      <c r="A155" s="109" t="s">
        <v>328</v>
      </c>
      <c r="B155" s="111"/>
      <c r="C155" s="111"/>
      <c r="D155" s="110">
        <v>7873459382.28</v>
      </c>
      <c r="E155" s="110">
        <v>7873459382.28</v>
      </c>
      <c r="F155" s="111"/>
      <c r="G155" s="111"/>
    </row>
    <row r="156" spans="1:7" ht="24" customHeight="1" outlineLevel="2">
      <c r="A156" s="115" t="s">
        <v>328</v>
      </c>
      <c r="B156" s="111"/>
      <c r="C156" s="111"/>
      <c r="D156" s="110">
        <v>368636506.18</v>
      </c>
      <c r="E156" s="110">
        <v>368636506.18</v>
      </c>
      <c r="F156" s="111"/>
      <c r="G156" s="111"/>
    </row>
    <row r="157" spans="1:7" ht="24" customHeight="1" outlineLevel="2">
      <c r="A157" s="115" t="s">
        <v>329</v>
      </c>
      <c r="B157" s="111"/>
      <c r="C157" s="111"/>
      <c r="D157" s="110">
        <v>7504822876.099999</v>
      </c>
      <c r="E157" s="110">
        <v>7504822876.099999</v>
      </c>
      <c r="F157" s="111"/>
      <c r="G157" s="111"/>
    </row>
    <row r="158" spans="1:7" ht="12" customHeight="1">
      <c r="A158" s="106" t="s">
        <v>378</v>
      </c>
      <c r="B158" s="108"/>
      <c r="C158" s="108"/>
      <c r="D158" s="335">
        <v>35303468.27</v>
      </c>
      <c r="E158" s="335">
        <v>35303468.27</v>
      </c>
      <c r="F158" s="108"/>
      <c r="G158" s="108"/>
    </row>
    <row r="159" spans="1:7" ht="24" customHeight="1" outlineLevel="1">
      <c r="A159" s="112" t="s">
        <v>379</v>
      </c>
      <c r="B159" s="114"/>
      <c r="C159" s="114"/>
      <c r="D159" s="113">
        <v>35303468.27</v>
      </c>
      <c r="E159" s="113">
        <v>35303468.27</v>
      </c>
      <c r="F159" s="114"/>
      <c r="G159" s="114"/>
    </row>
    <row r="160" spans="1:7" ht="48" customHeight="1" outlineLevel="2">
      <c r="A160" s="115" t="s">
        <v>380</v>
      </c>
      <c r="B160" s="111"/>
      <c r="C160" s="111"/>
      <c r="D160" s="110">
        <v>35303468.27</v>
      </c>
      <c r="E160" s="110">
        <v>35303468.27</v>
      </c>
      <c r="F160" s="111"/>
      <c r="G160" s="111"/>
    </row>
    <row r="161" spans="1:7" ht="12" customHeight="1">
      <c r="A161" s="106" t="s">
        <v>330</v>
      </c>
      <c r="B161" s="108"/>
      <c r="C161" s="108"/>
      <c r="D161" s="335">
        <v>109573338.01</v>
      </c>
      <c r="E161" s="335">
        <v>109573338.01</v>
      </c>
      <c r="F161" s="108"/>
      <c r="G161" s="108"/>
    </row>
    <row r="162" spans="1:7" ht="24" customHeight="1" outlineLevel="1">
      <c r="A162" s="109" t="s">
        <v>388</v>
      </c>
      <c r="B162" s="111"/>
      <c r="C162" s="111"/>
      <c r="D162" s="110">
        <v>598968.01</v>
      </c>
      <c r="E162" s="110">
        <v>598968.01</v>
      </c>
      <c r="F162" s="111"/>
      <c r="G162" s="111"/>
    </row>
    <row r="163" spans="1:7" ht="12" customHeight="1" outlineLevel="1">
      <c r="A163" s="109" t="s">
        <v>331</v>
      </c>
      <c r="B163" s="111"/>
      <c r="C163" s="111"/>
      <c r="D163" s="110">
        <v>108974370</v>
      </c>
      <c r="E163" s="110">
        <v>108974370</v>
      </c>
      <c r="F163" s="111"/>
      <c r="G163" s="111"/>
    </row>
    <row r="164" spans="1:7" ht="24" customHeight="1">
      <c r="A164" s="106" t="s">
        <v>332</v>
      </c>
      <c r="B164" s="108"/>
      <c r="C164" s="108"/>
      <c r="D164" s="335">
        <v>79807455.53</v>
      </c>
      <c r="E164" s="335">
        <v>79807455.53</v>
      </c>
      <c r="F164" s="108"/>
      <c r="G164" s="108"/>
    </row>
    <row r="165" spans="1:7" ht="24" customHeight="1" outlineLevel="1">
      <c r="A165" s="109" t="s">
        <v>333</v>
      </c>
      <c r="B165" s="111"/>
      <c r="C165" s="111"/>
      <c r="D165" s="110">
        <v>79807455.53</v>
      </c>
      <c r="E165" s="110">
        <v>79807455.53</v>
      </c>
      <c r="F165" s="111"/>
      <c r="G165" s="111"/>
    </row>
    <row r="166" spans="1:7" ht="24" customHeight="1">
      <c r="A166" s="106" t="s">
        <v>334</v>
      </c>
      <c r="B166" s="108"/>
      <c r="C166" s="108"/>
      <c r="D166" s="335">
        <v>791244772.69</v>
      </c>
      <c r="E166" s="335">
        <v>791244772.69</v>
      </c>
      <c r="F166" s="108"/>
      <c r="G166" s="108"/>
    </row>
    <row r="167" spans="1:7" ht="24" customHeight="1" outlineLevel="1">
      <c r="A167" s="109" t="s">
        <v>335</v>
      </c>
      <c r="B167" s="111"/>
      <c r="C167" s="111"/>
      <c r="D167" s="110">
        <v>475967318.6</v>
      </c>
      <c r="E167" s="110">
        <v>475967318.6</v>
      </c>
      <c r="F167" s="111"/>
      <c r="G167" s="111"/>
    </row>
    <row r="168" spans="1:7" ht="36" customHeight="1" outlineLevel="1">
      <c r="A168" s="109" t="s">
        <v>336</v>
      </c>
      <c r="B168" s="111"/>
      <c r="C168" s="111"/>
      <c r="D168" s="110">
        <v>297868013.93</v>
      </c>
      <c r="E168" s="110">
        <v>297868013.93</v>
      </c>
      <c r="F168" s="111"/>
      <c r="G168" s="111"/>
    </row>
    <row r="169" spans="1:7" ht="36" customHeight="1" outlineLevel="1">
      <c r="A169" s="109" t="s">
        <v>337</v>
      </c>
      <c r="B169" s="111"/>
      <c r="C169" s="111"/>
      <c r="D169" s="110">
        <v>17409440.16</v>
      </c>
      <c r="E169" s="110">
        <v>17409440.16</v>
      </c>
      <c r="F169" s="111"/>
      <c r="G169" s="111"/>
    </row>
    <row r="170" spans="1:7" ht="24" customHeight="1">
      <c r="A170" s="106" t="s">
        <v>338</v>
      </c>
      <c r="B170" s="108"/>
      <c r="C170" s="108"/>
      <c r="D170" s="335">
        <v>232709742.41</v>
      </c>
      <c r="E170" s="335">
        <v>232709742.41</v>
      </c>
      <c r="F170" s="108"/>
      <c r="G170" s="108"/>
    </row>
    <row r="171" spans="1:7" ht="24" customHeight="1" outlineLevel="1">
      <c r="A171" s="112" t="s">
        <v>339</v>
      </c>
      <c r="B171" s="114"/>
      <c r="C171" s="114"/>
      <c r="D171" s="113">
        <v>125761641.41</v>
      </c>
      <c r="E171" s="113">
        <v>125761641.41</v>
      </c>
      <c r="F171" s="114"/>
      <c r="G171" s="114"/>
    </row>
    <row r="172" spans="1:7" ht="48" customHeight="1" outlineLevel="2">
      <c r="A172" s="115" t="s">
        <v>340</v>
      </c>
      <c r="B172" s="111"/>
      <c r="C172" s="111"/>
      <c r="D172" s="110">
        <v>125761641.41</v>
      </c>
      <c r="E172" s="110">
        <v>125761641.41</v>
      </c>
      <c r="F172" s="111"/>
      <c r="G172" s="111"/>
    </row>
    <row r="173" spans="1:7" ht="24" customHeight="1" outlineLevel="1">
      <c r="A173" s="109" t="s">
        <v>341</v>
      </c>
      <c r="B173" s="111"/>
      <c r="C173" s="111"/>
      <c r="D173" s="110">
        <v>106948101</v>
      </c>
      <c r="E173" s="110">
        <v>106948101</v>
      </c>
      <c r="F173" s="111"/>
      <c r="G173" s="111"/>
    </row>
    <row r="174" spans="1:7" ht="12" customHeight="1">
      <c r="A174" s="106" t="s">
        <v>342</v>
      </c>
      <c r="B174" s="108"/>
      <c r="C174" s="108"/>
      <c r="D174" s="335">
        <v>3368431.52</v>
      </c>
      <c r="E174" s="335">
        <v>3368431.52</v>
      </c>
      <c r="F174" s="108"/>
      <c r="G174" s="108"/>
    </row>
    <row r="175" spans="1:7" ht="24" customHeight="1" outlineLevel="1">
      <c r="A175" s="112" t="s">
        <v>343</v>
      </c>
      <c r="B175" s="114"/>
      <c r="C175" s="114"/>
      <c r="D175" s="113">
        <v>1980323.4</v>
      </c>
      <c r="E175" s="113">
        <v>1980323.4</v>
      </c>
      <c r="F175" s="114"/>
      <c r="G175" s="114"/>
    </row>
    <row r="176" spans="1:7" ht="24" customHeight="1" outlineLevel="2">
      <c r="A176" s="115" t="s">
        <v>344</v>
      </c>
      <c r="B176" s="111"/>
      <c r="C176" s="111"/>
      <c r="D176" s="110">
        <v>1980323.4</v>
      </c>
      <c r="E176" s="110">
        <v>1980323.4</v>
      </c>
      <c r="F176" s="111"/>
      <c r="G176" s="111"/>
    </row>
    <row r="177" spans="1:7" ht="36" customHeight="1" outlineLevel="1">
      <c r="A177" s="109" t="s">
        <v>389</v>
      </c>
      <c r="B177" s="111"/>
      <c r="C177" s="111"/>
      <c r="D177" s="110">
        <v>1298091.7</v>
      </c>
      <c r="E177" s="110">
        <v>1298091.7</v>
      </c>
      <c r="F177" s="111"/>
      <c r="G177" s="111"/>
    </row>
    <row r="178" spans="1:7" ht="12" customHeight="1" outlineLevel="1">
      <c r="A178" s="109" t="s">
        <v>390</v>
      </c>
      <c r="B178" s="111"/>
      <c r="C178" s="111"/>
      <c r="D178" s="110">
        <v>90016.42</v>
      </c>
      <c r="E178" s="110">
        <v>90016.42</v>
      </c>
      <c r="F178" s="111"/>
      <c r="G178" s="111"/>
    </row>
    <row r="179" spans="1:7" ht="36" customHeight="1">
      <c r="A179" s="106" t="s">
        <v>345</v>
      </c>
      <c r="B179" s="108"/>
      <c r="C179" s="108"/>
      <c r="D179" s="335">
        <v>220605401</v>
      </c>
      <c r="E179" s="335">
        <v>220605401</v>
      </c>
      <c r="F179" s="108"/>
      <c r="G179" s="108"/>
    </row>
    <row r="180" spans="1:7" ht="36" customHeight="1" outlineLevel="1">
      <c r="A180" s="112" t="s">
        <v>346</v>
      </c>
      <c r="B180" s="114"/>
      <c r="C180" s="114"/>
      <c r="D180" s="113">
        <v>220605401</v>
      </c>
      <c r="E180" s="113">
        <v>220605401</v>
      </c>
      <c r="F180" s="114"/>
      <c r="G180" s="114"/>
    </row>
    <row r="181" spans="1:7" ht="48" customHeight="1" outlineLevel="2">
      <c r="A181" s="115" t="s">
        <v>391</v>
      </c>
      <c r="B181" s="111"/>
      <c r="C181" s="111"/>
      <c r="D181" s="110">
        <v>30547560</v>
      </c>
      <c r="E181" s="110">
        <v>30547560</v>
      </c>
      <c r="F181" s="111"/>
      <c r="G181" s="111"/>
    </row>
    <row r="182" spans="1:7" ht="48" customHeight="1" outlineLevel="2">
      <c r="A182" s="115" t="s">
        <v>347</v>
      </c>
      <c r="B182" s="111"/>
      <c r="C182" s="111"/>
      <c r="D182" s="110">
        <v>190057841</v>
      </c>
      <c r="E182" s="110">
        <v>190057841</v>
      </c>
      <c r="F182" s="111"/>
      <c r="G182" s="111"/>
    </row>
    <row r="183" spans="1:7" ht="12" customHeight="1">
      <c r="A183" s="106" t="s">
        <v>348</v>
      </c>
      <c r="B183" s="108"/>
      <c r="C183" s="108"/>
      <c r="D183" s="335">
        <v>2151552145.57</v>
      </c>
      <c r="E183" s="335">
        <v>2151552145.57</v>
      </c>
      <c r="F183" s="108"/>
      <c r="G183" s="108"/>
    </row>
    <row r="184" spans="1:7" ht="12" customHeight="1" outlineLevel="1">
      <c r="A184" s="109" t="s">
        <v>349</v>
      </c>
      <c r="B184" s="111"/>
      <c r="C184" s="111"/>
      <c r="D184" s="110">
        <v>2102900459</v>
      </c>
      <c r="E184" s="110">
        <v>2102900459</v>
      </c>
      <c r="F184" s="111"/>
      <c r="G184" s="111"/>
    </row>
    <row r="185" spans="1:7" ht="24" customHeight="1" outlineLevel="1">
      <c r="A185" s="109" t="s">
        <v>350</v>
      </c>
      <c r="B185" s="111"/>
      <c r="C185" s="111"/>
      <c r="D185" s="110">
        <v>13874830.57</v>
      </c>
      <c r="E185" s="110">
        <v>13874830.57</v>
      </c>
      <c r="F185" s="111"/>
      <c r="G185" s="111"/>
    </row>
    <row r="186" spans="1:7" ht="24" customHeight="1" outlineLevel="1">
      <c r="A186" s="109" t="s">
        <v>351</v>
      </c>
      <c r="B186" s="111"/>
      <c r="C186" s="111"/>
      <c r="D186" s="110">
        <v>34776856</v>
      </c>
      <c r="E186" s="110">
        <v>34776856</v>
      </c>
      <c r="F186" s="111"/>
      <c r="G186" s="111"/>
    </row>
    <row r="187" spans="1:7" ht="24" customHeight="1">
      <c r="A187" s="106" t="s">
        <v>352</v>
      </c>
      <c r="B187" s="108"/>
      <c r="C187" s="108"/>
      <c r="D187" s="335">
        <v>87187486.5</v>
      </c>
      <c r="E187" s="335">
        <v>87187486.5</v>
      </c>
      <c r="F187" s="108"/>
      <c r="G187" s="108"/>
    </row>
    <row r="188" spans="1:7" ht="24" customHeight="1" outlineLevel="1">
      <c r="A188" s="109" t="s">
        <v>353</v>
      </c>
      <c r="B188" s="111"/>
      <c r="C188" s="111"/>
      <c r="D188" s="110">
        <v>87187486.5</v>
      </c>
      <c r="E188" s="110">
        <v>87187486.5</v>
      </c>
      <c r="F188" s="111"/>
      <c r="G188" s="111"/>
    </row>
    <row r="189" spans="1:7" ht="12" customHeight="1">
      <c r="A189" s="106" t="s">
        <v>354</v>
      </c>
      <c r="B189" s="108"/>
      <c r="C189" s="108"/>
      <c r="D189" s="335">
        <v>3324280341.56</v>
      </c>
      <c r="E189" s="335">
        <v>3324280341.56</v>
      </c>
      <c r="F189" s="108"/>
      <c r="G189" s="108"/>
    </row>
    <row r="190" spans="1:7" ht="12" customHeight="1" outlineLevel="1">
      <c r="A190" s="109" t="s">
        <v>355</v>
      </c>
      <c r="B190" s="111"/>
      <c r="C190" s="111"/>
      <c r="D190" s="110">
        <v>2886221920</v>
      </c>
      <c r="E190" s="110">
        <v>2886221920</v>
      </c>
      <c r="F190" s="111"/>
      <c r="G190" s="111"/>
    </row>
    <row r="191" spans="1:7" ht="36" customHeight="1" outlineLevel="1">
      <c r="A191" s="112" t="s">
        <v>356</v>
      </c>
      <c r="B191" s="114"/>
      <c r="C191" s="114"/>
      <c r="D191" s="113">
        <v>438058421.56</v>
      </c>
      <c r="E191" s="113">
        <v>438058421.56</v>
      </c>
      <c r="F191" s="114"/>
      <c r="G191" s="114"/>
    </row>
    <row r="192" spans="1:7" ht="24" customHeight="1" outlineLevel="2">
      <c r="A192" s="115" t="s">
        <v>357</v>
      </c>
      <c r="B192" s="111"/>
      <c r="C192" s="111"/>
      <c r="D192" s="110">
        <v>14416131.51</v>
      </c>
      <c r="E192" s="110">
        <v>14416131.51</v>
      </c>
      <c r="F192" s="111"/>
      <c r="G192" s="111"/>
    </row>
    <row r="193" spans="1:7" ht="24" customHeight="1" outlineLevel="2">
      <c r="A193" s="115" t="s">
        <v>358</v>
      </c>
      <c r="B193" s="111"/>
      <c r="C193" s="111"/>
      <c r="D193" s="110">
        <v>22341066.61</v>
      </c>
      <c r="E193" s="110">
        <v>22341066.61</v>
      </c>
      <c r="F193" s="111"/>
      <c r="G193" s="111"/>
    </row>
    <row r="194" spans="1:7" ht="24" customHeight="1" outlineLevel="2">
      <c r="A194" s="115" t="s">
        <v>359</v>
      </c>
      <c r="B194" s="111"/>
      <c r="C194" s="111"/>
      <c r="D194" s="110">
        <v>401301223.44</v>
      </c>
      <c r="E194" s="110">
        <v>401301223.44</v>
      </c>
      <c r="F194" s="111"/>
      <c r="G194" s="111"/>
    </row>
    <row r="195" spans="1:7" ht="24" customHeight="1">
      <c r="A195" s="121" t="s">
        <v>77</v>
      </c>
      <c r="B195" s="122">
        <v>25481536561.7</v>
      </c>
      <c r="C195" s="122">
        <v>25481536561.7</v>
      </c>
      <c r="D195" s="122">
        <v>218971205113.27</v>
      </c>
      <c r="E195" s="122">
        <v>218971205113.27</v>
      </c>
      <c r="F195" s="122">
        <v>26162177323.87</v>
      </c>
      <c r="G195" s="122">
        <v>26162177323.87</v>
      </c>
    </row>
    <row r="197" ht="12.75">
      <c r="F197" s="91">
        <f>F61</f>
        <v>91897070.17</v>
      </c>
    </row>
    <row r="200" ht="12.75">
      <c r="F200" s="91">
        <f>F195-F197</f>
        <v>26070280253.7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B2:J80"/>
  <sheetViews>
    <sheetView workbookViewId="0" topLeftCell="A22">
      <selection activeCell="D22" sqref="D22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2" ht="12.75">
      <c r="D2" s="1" t="s">
        <v>0</v>
      </c>
    </row>
    <row r="3" spans="3:4" ht="12.75">
      <c r="C3" s="1" t="s">
        <v>1</v>
      </c>
      <c r="D3" s="1"/>
    </row>
    <row r="4" spans="3:5" ht="12.75">
      <c r="C4" s="1" t="s">
        <v>2</v>
      </c>
      <c r="D4" s="1"/>
      <c r="E4" s="1"/>
    </row>
    <row r="5" spans="2:6" ht="15.75">
      <c r="B5" s="2" t="s">
        <v>3</v>
      </c>
      <c r="C5" s="3"/>
      <c r="D5" s="3"/>
      <c r="E5" s="3"/>
      <c r="F5" s="3"/>
    </row>
    <row r="6" spans="2:6" ht="15.75">
      <c r="B6" s="2"/>
      <c r="C6" s="3"/>
      <c r="D6" s="3"/>
      <c r="E6" s="3"/>
      <c r="F6" s="3"/>
    </row>
    <row r="7" spans="2:6" ht="15.75">
      <c r="B7" s="364" t="s">
        <v>686</v>
      </c>
      <c r="C7" s="364"/>
      <c r="D7" s="3"/>
      <c r="E7" s="3"/>
      <c r="F7" s="3"/>
    </row>
    <row r="8" spans="2:6" ht="15.75">
      <c r="B8" s="4"/>
      <c r="C8" s="3"/>
      <c r="D8" s="3"/>
      <c r="E8" s="3"/>
      <c r="F8" s="3"/>
    </row>
    <row r="9" spans="2:6" ht="7.5" customHeight="1">
      <c r="B9" s="3"/>
      <c r="C9" s="3"/>
      <c r="D9" s="3"/>
      <c r="E9" s="3"/>
      <c r="F9" s="3"/>
    </row>
    <row r="10" spans="2:6" ht="15" customHeight="1">
      <c r="B10" s="3"/>
      <c r="C10" s="3"/>
      <c r="D10" s="3"/>
      <c r="E10" s="62" t="s">
        <v>4</v>
      </c>
      <c r="F10" s="3"/>
    </row>
    <row r="11" spans="2:6" ht="1.5" customHeight="1" hidden="1">
      <c r="B11" s="3"/>
      <c r="C11" s="3"/>
      <c r="D11" s="3"/>
      <c r="E11" s="3"/>
      <c r="F11" s="3"/>
    </row>
    <row r="12" spans="2:6" ht="15.75" thickBot="1">
      <c r="B12" s="3"/>
      <c r="C12" s="3"/>
      <c r="D12" s="3"/>
      <c r="E12" s="3"/>
      <c r="F12" s="3"/>
    </row>
    <row r="13" spans="2:6" ht="48" thickBot="1">
      <c r="B13" s="5" t="s">
        <v>5</v>
      </c>
      <c r="C13" s="6" t="s">
        <v>6</v>
      </c>
      <c r="D13" s="6" t="s">
        <v>7</v>
      </c>
      <c r="E13" s="6" t="s">
        <v>8</v>
      </c>
      <c r="F13" s="3"/>
    </row>
    <row r="14" spans="2:6" ht="16.5" thickBot="1">
      <c r="B14" s="7" t="s">
        <v>9</v>
      </c>
      <c r="C14" s="8"/>
      <c r="D14" s="8"/>
      <c r="E14" s="8"/>
      <c r="F14" s="3"/>
    </row>
    <row r="15" spans="2:6" ht="16.5" thickBot="1">
      <c r="B15" s="7" t="s">
        <v>10</v>
      </c>
      <c r="C15" s="8">
        <v>10</v>
      </c>
      <c r="D15" s="75">
        <f>'осв 11'!F6/1000</f>
        <v>1887003.07935</v>
      </c>
      <c r="E15" s="76">
        <v>1720310</v>
      </c>
      <c r="F15" s="3"/>
    </row>
    <row r="16" spans="2:6" ht="32.25" thickBot="1">
      <c r="B16" s="7" t="s">
        <v>11</v>
      </c>
      <c r="C16" s="8">
        <v>11</v>
      </c>
      <c r="D16" s="10"/>
      <c r="E16" s="9"/>
      <c r="F16" s="3"/>
    </row>
    <row r="17" spans="2:6" ht="16.5" thickBot="1">
      <c r="B17" s="7" t="s">
        <v>12</v>
      </c>
      <c r="C17" s="8">
        <v>12</v>
      </c>
      <c r="D17" s="10"/>
      <c r="E17" s="9"/>
      <c r="F17" s="3"/>
    </row>
    <row r="18" spans="2:6" ht="48" thickBot="1">
      <c r="B18" s="7" t="s">
        <v>13</v>
      </c>
      <c r="C18" s="8">
        <v>13</v>
      </c>
      <c r="D18" s="10"/>
      <c r="E18" s="9"/>
      <c r="F18" s="3"/>
    </row>
    <row r="19" spans="2:6" ht="32.25" thickBot="1">
      <c r="B19" s="7" t="s">
        <v>14</v>
      </c>
      <c r="C19" s="8">
        <v>14</v>
      </c>
      <c r="D19" s="10"/>
      <c r="E19" s="9"/>
      <c r="F19" s="3"/>
    </row>
    <row r="20" spans="2:6" ht="32.25" thickBot="1">
      <c r="B20" s="7" t="s">
        <v>15</v>
      </c>
      <c r="C20" s="8">
        <v>15</v>
      </c>
      <c r="D20" s="10"/>
      <c r="E20" s="9"/>
      <c r="F20" s="3"/>
    </row>
    <row r="21" spans="2:9" ht="32.25" thickBot="1">
      <c r="B21" s="7" t="s">
        <v>16</v>
      </c>
      <c r="C21" s="8">
        <v>16</v>
      </c>
      <c r="D21" s="16">
        <f>('осв 11'!F18+'осв 11'!F19+'осв 11'!F21+'осв 11'!F22+'осв 11'!F28+'осв 11'!F51+'осв 11'!F52-'осв 11'!G32+'осв 11'!F16)/1000</f>
        <v>1043313.09045</v>
      </c>
      <c r="E21" s="16">
        <v>781327</v>
      </c>
      <c r="F21" s="3"/>
      <c r="G21" s="51"/>
      <c r="I21" s="51"/>
    </row>
    <row r="22" spans="2:7" ht="16.5" thickBot="1">
      <c r="B22" s="7" t="s">
        <v>17</v>
      </c>
      <c r="C22" s="8">
        <v>17</v>
      </c>
      <c r="D22" s="16">
        <f>'осв 11'!F47/1000</f>
        <v>90405.80979</v>
      </c>
      <c r="E22" s="14">
        <v>46123</v>
      </c>
      <c r="F22" s="3"/>
      <c r="G22" s="51"/>
    </row>
    <row r="23" spans="2:7" ht="16.5" thickBot="1">
      <c r="B23" s="7" t="s">
        <v>18</v>
      </c>
      <c r="C23" s="8">
        <v>18</v>
      </c>
      <c r="D23" s="16">
        <f>'осв 11'!F35/1000</f>
        <v>225674.70356</v>
      </c>
      <c r="E23" s="14">
        <v>209303</v>
      </c>
      <c r="F23" s="3"/>
      <c r="G23" s="51"/>
    </row>
    <row r="24" spans="2:7" ht="16.5" thickBot="1">
      <c r="B24" s="7" t="s">
        <v>19</v>
      </c>
      <c r="C24" s="8">
        <v>19</v>
      </c>
      <c r="D24" s="10"/>
      <c r="E24" s="9"/>
      <c r="F24" s="3"/>
      <c r="G24" s="51"/>
    </row>
    <row r="25" spans="2:6" ht="32.25" thickBot="1">
      <c r="B25" s="7" t="s">
        <v>20</v>
      </c>
      <c r="C25" s="8">
        <v>100</v>
      </c>
      <c r="D25" s="72">
        <f>SUM(D15:D24)</f>
        <v>3246396.68315</v>
      </c>
      <c r="E25" s="15">
        <f>SUM(E15:E24)</f>
        <v>2757063</v>
      </c>
      <c r="F25" s="3"/>
    </row>
    <row r="26" spans="2:7" ht="32.25" thickBot="1">
      <c r="B26" s="7" t="s">
        <v>21</v>
      </c>
      <c r="C26" s="8">
        <v>101</v>
      </c>
      <c r="D26" s="10"/>
      <c r="E26" s="9"/>
      <c r="F26" s="3"/>
      <c r="G26" s="51"/>
    </row>
    <row r="27" spans="2:7" ht="16.5" thickBot="1">
      <c r="B27" s="7" t="s">
        <v>22</v>
      </c>
      <c r="C27" s="8"/>
      <c r="D27" s="10"/>
      <c r="E27" s="9"/>
      <c r="F27" s="3"/>
      <c r="G27" s="51"/>
    </row>
    <row r="28" spans="2:7" ht="32.25" thickBot="1">
      <c r="B28" s="7" t="s">
        <v>11</v>
      </c>
      <c r="C28" s="8">
        <v>110</v>
      </c>
      <c r="D28" s="10"/>
      <c r="E28" s="9"/>
      <c r="F28" s="3"/>
      <c r="G28" s="51"/>
    </row>
    <row r="29" spans="2:7" ht="16.5" thickBot="1">
      <c r="B29" s="7" t="s">
        <v>12</v>
      </c>
      <c r="C29" s="8">
        <v>111</v>
      </c>
      <c r="D29" s="10"/>
      <c r="E29" s="9"/>
      <c r="F29" s="3"/>
      <c r="G29" s="51"/>
    </row>
    <row r="30" spans="2:7" ht="48" thickBot="1">
      <c r="B30" s="7" t="s">
        <v>13</v>
      </c>
      <c r="C30" s="8">
        <v>112</v>
      </c>
      <c r="D30" s="10"/>
      <c r="E30" s="9"/>
      <c r="F30" s="3"/>
      <c r="G30" s="51"/>
    </row>
    <row r="31" spans="2:7" ht="32.25" thickBot="1">
      <c r="B31" s="7" t="s">
        <v>14</v>
      </c>
      <c r="C31" s="8">
        <v>113</v>
      </c>
      <c r="D31" s="10"/>
      <c r="E31" s="9"/>
      <c r="F31" s="3"/>
      <c r="G31" s="51"/>
    </row>
    <row r="32" spans="2:7" ht="16.5" thickBot="1">
      <c r="B32" s="7" t="s">
        <v>23</v>
      </c>
      <c r="C32" s="8">
        <v>114</v>
      </c>
      <c r="D32" s="10"/>
      <c r="E32" s="9"/>
      <c r="F32" s="3"/>
      <c r="G32" s="244"/>
    </row>
    <row r="33" spans="2:7" ht="32.25" thickBot="1">
      <c r="B33" s="7" t="s">
        <v>24</v>
      </c>
      <c r="C33" s="8">
        <v>115</v>
      </c>
      <c r="D33" s="10"/>
      <c r="E33" s="9"/>
      <c r="F33" s="3"/>
      <c r="G33" s="51"/>
    </row>
    <row r="34" spans="2:7" ht="32.25" thickBot="1">
      <c r="B34" s="7" t="s">
        <v>25</v>
      </c>
      <c r="C34" s="8">
        <v>116</v>
      </c>
      <c r="D34" s="10"/>
      <c r="E34" s="9"/>
      <c r="F34" s="3"/>
      <c r="G34" s="51"/>
    </row>
    <row r="35" spans="2:6" ht="16.5" thickBot="1">
      <c r="B35" s="7" t="s">
        <v>26</v>
      </c>
      <c r="C35" s="8">
        <v>117</v>
      </c>
      <c r="D35" s="10"/>
      <c r="E35" s="10"/>
      <c r="F35" s="3"/>
    </row>
    <row r="36" spans="2:8" ht="16.5" thickBot="1">
      <c r="B36" s="7" t="s">
        <v>27</v>
      </c>
      <c r="C36" s="8">
        <v>118</v>
      </c>
      <c r="D36" s="74">
        <f>('осв 11'!F62+'осв 11'!F86)/1000</f>
        <v>22695040.224770002</v>
      </c>
      <c r="E36" s="74">
        <v>22505247</v>
      </c>
      <c r="F36" s="3"/>
      <c r="H36" s="11"/>
    </row>
    <row r="37" spans="2:6" ht="16.5" thickBot="1">
      <c r="B37" s="7" t="s">
        <v>28</v>
      </c>
      <c r="C37" s="8">
        <v>119</v>
      </c>
      <c r="D37" s="10"/>
      <c r="E37" s="10"/>
      <c r="F37" s="3"/>
    </row>
    <row r="38" spans="2:6" ht="16.5" thickBot="1">
      <c r="B38" s="7" t="s">
        <v>29</v>
      </c>
      <c r="C38" s="8">
        <v>120</v>
      </c>
      <c r="D38" s="10"/>
      <c r="E38" s="10"/>
      <c r="F38" s="3"/>
    </row>
    <row r="39" spans="2:6" ht="16.5" thickBot="1">
      <c r="B39" s="7" t="s">
        <v>30</v>
      </c>
      <c r="C39" s="8">
        <v>121</v>
      </c>
      <c r="D39" s="16">
        <f>'осв 11'!F73/1000</f>
        <v>92723.34578</v>
      </c>
      <c r="E39" s="16">
        <v>109033</v>
      </c>
      <c r="F39" s="3"/>
    </row>
    <row r="40" spans="2:6" ht="16.5" thickBot="1">
      <c r="B40" s="7" t="s">
        <v>31</v>
      </c>
      <c r="C40" s="8">
        <v>122</v>
      </c>
      <c r="D40" s="10"/>
      <c r="E40" s="9"/>
      <c r="F40" s="3"/>
    </row>
    <row r="41" spans="2:6" ht="16.5" thickBot="1">
      <c r="B41" s="7" t="s">
        <v>32</v>
      </c>
      <c r="C41" s="8">
        <v>123</v>
      </c>
      <c r="D41" s="10">
        <f>36120</f>
        <v>36120</v>
      </c>
      <c r="E41" s="9"/>
      <c r="F41" s="3"/>
    </row>
    <row r="42" spans="2:8" ht="32.25" thickBot="1">
      <c r="B42" s="7" t="s">
        <v>33</v>
      </c>
      <c r="C42" s="8">
        <v>200</v>
      </c>
      <c r="D42" s="52">
        <f>SUM(D28:D41)</f>
        <v>22823883.570550002</v>
      </c>
      <c r="E42" s="15">
        <f>SUM(E33:E41)</f>
        <v>22614280</v>
      </c>
      <c r="F42" s="3"/>
      <c r="G42" s="13"/>
      <c r="H42" s="11"/>
    </row>
    <row r="43" spans="2:7" ht="32.25" thickBot="1">
      <c r="B43" s="7" t="s">
        <v>34</v>
      </c>
      <c r="C43" s="8"/>
      <c r="D43" s="52">
        <f>D25+D42</f>
        <v>26070280.253700003</v>
      </c>
      <c r="E43" s="15">
        <f>E25+E42</f>
        <v>25371343</v>
      </c>
      <c r="F43" s="3"/>
      <c r="G43" s="11"/>
    </row>
    <row r="44" spans="2:6" ht="48" thickBot="1">
      <c r="B44" s="7" t="s">
        <v>35</v>
      </c>
      <c r="C44" s="8" t="s">
        <v>6</v>
      </c>
      <c r="D44" s="10" t="s">
        <v>7</v>
      </c>
      <c r="E44" s="9" t="s">
        <v>8</v>
      </c>
      <c r="F44" s="3"/>
    </row>
    <row r="45" spans="2:6" ht="16.5" thickBot="1">
      <c r="B45" s="7" t="s">
        <v>36</v>
      </c>
      <c r="C45" s="8"/>
      <c r="D45" s="10"/>
      <c r="E45" s="9"/>
      <c r="F45" s="3"/>
    </row>
    <row r="46" spans="2:6" ht="16.5" thickBot="1">
      <c r="B46" s="7" t="s">
        <v>37</v>
      </c>
      <c r="C46" s="8">
        <v>210</v>
      </c>
      <c r="D46" s="10"/>
      <c r="E46" s="9"/>
      <c r="F46" s="3"/>
    </row>
    <row r="47" spans="2:6" ht="16.5" thickBot="1">
      <c r="B47" s="7" t="s">
        <v>12</v>
      </c>
      <c r="C47" s="8">
        <v>211</v>
      </c>
      <c r="D47" s="10"/>
      <c r="E47" s="9"/>
      <c r="F47" s="3"/>
    </row>
    <row r="48" spans="2:7" ht="32.25" thickBot="1">
      <c r="B48" s="7" t="s">
        <v>38</v>
      </c>
      <c r="C48" s="8">
        <v>212</v>
      </c>
      <c r="D48" s="10">
        <f>('осв 11'!G91+'осв 11'!G113-'осв 11'!F61)/1000</f>
        <v>69204.88742</v>
      </c>
      <c r="E48" s="9">
        <v>1063514</v>
      </c>
      <c r="F48" s="3"/>
      <c r="G48" s="11"/>
    </row>
    <row r="49" spans="2:10" ht="32.25" thickBot="1">
      <c r="B49" s="7" t="s">
        <v>39</v>
      </c>
      <c r="C49" s="8">
        <v>213</v>
      </c>
      <c r="D49" s="10">
        <f>('осв 11'!G88+'осв 11'!G107+'осв 11'!G114+'осв 11'!G125)/1000</f>
        <v>1348420.3683200001</v>
      </c>
      <c r="E49" s="9">
        <v>2878485</v>
      </c>
      <c r="F49" s="3"/>
      <c r="J49" s="11"/>
    </row>
    <row r="50" spans="2:6" ht="16.5" thickBot="1">
      <c r="B50" s="7" t="s">
        <v>40</v>
      </c>
      <c r="C50" s="8">
        <v>214</v>
      </c>
      <c r="D50" s="10">
        <f>('осв 11'!G123-1574000)/1000</f>
        <v>112539.893</v>
      </c>
      <c r="E50" s="9">
        <v>111410</v>
      </c>
      <c r="F50" s="3"/>
    </row>
    <row r="51" spans="2:8" ht="32.25" thickBot="1">
      <c r="B51" s="7" t="s">
        <v>41</v>
      </c>
      <c r="C51" s="8">
        <v>215</v>
      </c>
      <c r="D51" s="10"/>
      <c r="E51" s="10"/>
      <c r="F51" s="3"/>
      <c r="H51" s="11"/>
    </row>
    <row r="52" spans="2:6" ht="16.5" thickBot="1">
      <c r="B52" s="7" t="s">
        <v>42</v>
      </c>
      <c r="C52" s="8">
        <v>216</v>
      </c>
      <c r="D52" s="10">
        <f>'осв 11'!G111/1000</f>
        <v>60759.49751</v>
      </c>
      <c r="E52" s="9">
        <v>38815</v>
      </c>
      <c r="F52" s="3"/>
    </row>
    <row r="53" spans="2:8" ht="16.5" thickBot="1">
      <c r="B53" s="7" t="s">
        <v>43</v>
      </c>
      <c r="C53" s="8">
        <v>217</v>
      </c>
      <c r="D53" s="10">
        <f>('осв 11'!G94+'осв 11'!G103+1574000)/1000</f>
        <v>71800.91795</v>
      </c>
      <c r="E53" s="12">
        <v>28412</v>
      </c>
      <c r="F53" s="3"/>
      <c r="H53" s="51"/>
    </row>
    <row r="54" spans="2:6" ht="32.25" thickBot="1">
      <c r="B54" s="7" t="s">
        <v>44</v>
      </c>
      <c r="C54" s="8">
        <v>300</v>
      </c>
      <c r="D54" s="72">
        <f>SUM(D48:D53)</f>
        <v>1662725.5642</v>
      </c>
      <c r="E54" s="15">
        <f>SUM(E48:E53)</f>
        <v>4120636</v>
      </c>
      <c r="F54" s="3"/>
    </row>
    <row r="55" spans="2:6" ht="32.25" thickBot="1">
      <c r="B55" s="7" t="s">
        <v>45</v>
      </c>
      <c r="C55" s="8">
        <v>301</v>
      </c>
      <c r="D55" s="10"/>
      <c r="E55" s="9"/>
      <c r="F55" s="3"/>
    </row>
    <row r="56" spans="2:6" ht="16.5" thickBot="1">
      <c r="B56" s="7" t="s">
        <v>46</v>
      </c>
      <c r="C56" s="8"/>
      <c r="D56" s="10"/>
      <c r="E56" s="9"/>
      <c r="F56" s="3"/>
    </row>
    <row r="57" spans="2:6" ht="16.5" thickBot="1">
      <c r="B57" s="7" t="s">
        <v>37</v>
      </c>
      <c r="C57" s="8">
        <v>310</v>
      </c>
      <c r="D57" s="10"/>
      <c r="E57" s="9"/>
      <c r="F57" s="3"/>
    </row>
    <row r="58" spans="2:6" ht="16.5" thickBot="1">
      <c r="B58" s="7" t="s">
        <v>12</v>
      </c>
      <c r="C58" s="8">
        <v>311</v>
      </c>
      <c r="D58" s="100"/>
      <c r="E58" s="9"/>
      <c r="F58" s="3"/>
    </row>
    <row r="59" spans="2:6" ht="32.25" thickBot="1">
      <c r="B59" s="7" t="s">
        <v>47</v>
      </c>
      <c r="C59" s="99">
        <v>312</v>
      </c>
      <c r="D59" s="102">
        <f>('осв 11'!G130)/1000</f>
        <v>4641422.631750001</v>
      </c>
      <c r="E59" s="102">
        <v>2166323</v>
      </c>
      <c r="F59" s="3"/>
    </row>
    <row r="60" spans="2:6" ht="32.25" thickBot="1">
      <c r="B60" s="7" t="s">
        <v>48</v>
      </c>
      <c r="C60" s="8">
        <v>313</v>
      </c>
      <c r="D60" s="16"/>
      <c r="E60" s="9"/>
      <c r="F60" s="3"/>
    </row>
    <row r="61" spans="2:6" ht="16.5" thickBot="1">
      <c r="B61" s="7" t="s">
        <v>49</v>
      </c>
      <c r="C61" s="8">
        <v>314</v>
      </c>
      <c r="D61" s="16">
        <f>'осв 11'!G137/1000</f>
        <v>59693.9</v>
      </c>
      <c r="E61" s="14">
        <v>57306</v>
      </c>
      <c r="F61" s="3"/>
    </row>
    <row r="62" spans="2:6" ht="16.5" thickBot="1">
      <c r="B62" s="7" t="s">
        <v>50</v>
      </c>
      <c r="C62" s="8">
        <v>315</v>
      </c>
      <c r="D62" s="16">
        <f>'осв 11'!G139/1000</f>
        <v>2896480.36</v>
      </c>
      <c r="E62" s="16">
        <v>2865933</v>
      </c>
      <c r="F62" s="55"/>
    </row>
    <row r="63" spans="2:6" ht="16.5" thickBot="1">
      <c r="B63" s="7" t="s">
        <v>51</v>
      </c>
      <c r="C63" s="8">
        <v>316</v>
      </c>
      <c r="D63" s="16">
        <f>'осв 11'!G133/1000</f>
        <v>1657812.4092899999</v>
      </c>
      <c r="E63" s="14">
        <v>1708160</v>
      </c>
      <c r="F63" s="3"/>
    </row>
    <row r="64" spans="2:6" ht="32.25" thickBot="1">
      <c r="B64" s="7" t="s">
        <v>52</v>
      </c>
      <c r="C64" s="8">
        <v>400</v>
      </c>
      <c r="D64" s="15">
        <f>SUM(D57:D63)</f>
        <v>9255409.301040001</v>
      </c>
      <c r="E64" s="15">
        <f>SUM(E57:E63)</f>
        <v>6797722</v>
      </c>
      <c r="F64" s="3"/>
    </row>
    <row r="65" spans="2:6" ht="16.5" thickBot="1">
      <c r="B65" s="7" t="s">
        <v>53</v>
      </c>
      <c r="C65" s="8"/>
      <c r="D65" s="73"/>
      <c r="E65" s="14"/>
      <c r="F65" s="3"/>
    </row>
    <row r="66" spans="2:7" ht="16.5" thickBot="1">
      <c r="B66" s="7" t="s">
        <v>54</v>
      </c>
      <c r="C66" s="8">
        <v>410</v>
      </c>
      <c r="D66" s="16">
        <f>('осв 11'!G140+'осв 11'!G146)/1000</f>
        <v>1712761.7765</v>
      </c>
      <c r="E66" s="16">
        <v>1712762</v>
      </c>
      <c r="F66" s="3"/>
      <c r="G66" s="11">
        <f>D66-E66</f>
        <v>-0.22350000008009374</v>
      </c>
    </row>
    <row r="67" spans="2:6" ht="16.5" thickBot="1">
      <c r="B67" s="7" t="s">
        <v>55</v>
      </c>
      <c r="C67" s="8">
        <v>411</v>
      </c>
      <c r="D67" s="73"/>
      <c r="E67" s="14"/>
      <c r="F67" s="3"/>
    </row>
    <row r="68" spans="2:6" ht="32.25" thickBot="1">
      <c r="B68" s="7" t="s">
        <v>56</v>
      </c>
      <c r="C68" s="8">
        <v>412</v>
      </c>
      <c r="D68" s="16">
        <f>'осв 11'!G144/1000</f>
        <v>-38923.5764</v>
      </c>
      <c r="E68" s="14">
        <v>-38924</v>
      </c>
      <c r="F68" s="3"/>
    </row>
    <row r="69" spans="2:6" ht="16.5" thickBot="1">
      <c r="B69" s="7" t="s">
        <v>57</v>
      </c>
      <c r="C69" s="8">
        <v>413</v>
      </c>
      <c r="D69" s="16">
        <f>'осв 11'!G148/1000</f>
        <v>7236911.584199999</v>
      </c>
      <c r="E69" s="16">
        <v>7754455</v>
      </c>
      <c r="F69" s="55"/>
    </row>
    <row r="70" spans="2:8" ht="32.25" thickBot="1">
      <c r="B70" s="7" t="s">
        <v>58</v>
      </c>
      <c r="C70" s="8">
        <v>414</v>
      </c>
      <c r="D70" s="16">
        <f>'осв 11'!G149/1000</f>
        <v>6241395.60416</v>
      </c>
      <c r="E70" s="14">
        <v>5024692</v>
      </c>
      <c r="F70" s="13"/>
      <c r="H70" s="11"/>
    </row>
    <row r="71" spans="2:6" ht="48" thickBot="1">
      <c r="B71" s="7" t="s">
        <v>59</v>
      </c>
      <c r="C71" s="8">
        <v>420</v>
      </c>
      <c r="D71" s="73"/>
      <c r="E71" s="9"/>
      <c r="F71" s="3"/>
    </row>
    <row r="72" spans="2:6" ht="16.5" thickBot="1">
      <c r="B72" s="7" t="s">
        <v>60</v>
      </c>
      <c r="C72" s="8">
        <v>421</v>
      </c>
      <c r="D72" s="77"/>
      <c r="E72" s="10"/>
      <c r="F72" s="3"/>
    </row>
    <row r="73" spans="2:6" ht="16.5" thickBot="1">
      <c r="B73" s="7" t="s">
        <v>61</v>
      </c>
      <c r="C73" s="8">
        <v>500</v>
      </c>
      <c r="D73" s="15">
        <f>SUM(D66:D72)</f>
        <v>15152145.38846</v>
      </c>
      <c r="E73" s="15">
        <f>SUM(E66:E72)</f>
        <v>14452985</v>
      </c>
      <c r="F73" s="3"/>
    </row>
    <row r="74" spans="2:8" ht="32.25" thickBot="1">
      <c r="B74" s="7" t="s">
        <v>62</v>
      </c>
      <c r="C74" s="8"/>
      <c r="D74" s="15">
        <f>D54+D64+D73</f>
        <v>26070280.2537</v>
      </c>
      <c r="E74" s="15">
        <f>E54+E64+E73</f>
        <v>25371343</v>
      </c>
      <c r="F74" s="3"/>
      <c r="H74" s="11"/>
    </row>
    <row r="75" spans="2:6" ht="15">
      <c r="B75" s="3"/>
      <c r="C75" s="3"/>
      <c r="D75" s="13"/>
      <c r="E75" s="3"/>
      <c r="F75" s="3"/>
    </row>
    <row r="76" spans="2:6" ht="15">
      <c r="B76" s="3"/>
      <c r="C76" s="3"/>
      <c r="D76" s="13"/>
      <c r="E76" s="13"/>
      <c r="F76" s="3"/>
    </row>
    <row r="77" spans="2:6" ht="15">
      <c r="B77" s="3"/>
      <c r="C77" s="3"/>
      <c r="D77" s="13">
        <f>D43-D74</f>
        <v>0</v>
      </c>
      <c r="E77" s="3"/>
      <c r="F77" s="3"/>
    </row>
    <row r="78" spans="2:6" ht="15">
      <c r="B78" s="3" t="s">
        <v>63</v>
      </c>
      <c r="C78" s="3"/>
      <c r="D78" s="13"/>
      <c r="E78" s="3"/>
      <c r="F78" s="3"/>
    </row>
    <row r="79" spans="2:6" ht="15">
      <c r="B79" s="3"/>
      <c r="C79" s="3"/>
      <c r="D79" s="13"/>
      <c r="E79" s="3"/>
      <c r="F79" s="3"/>
    </row>
    <row r="80" spans="2:6" ht="15">
      <c r="B80" s="3" t="s">
        <v>64</v>
      </c>
      <c r="C80" s="3"/>
      <c r="D80" s="3"/>
      <c r="E80" s="3"/>
      <c r="F80" s="3"/>
    </row>
  </sheetData>
  <sheetProtection/>
  <mergeCells count="1">
    <mergeCell ref="B7:C7"/>
  </mergeCells>
  <printOptions/>
  <pageMargins left="0.75" right="0.75" top="1" bottom="0.42" header="0.5" footer="0.5"/>
  <pageSetup horizontalDpi="600" verticalDpi="600" orientation="portrait" paperSize="9" scale="80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</sheetPr>
  <dimension ref="B1:E37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">
      <c r="B1" s="3"/>
      <c r="C1" s="104"/>
      <c r="D1" s="104" t="s">
        <v>169</v>
      </c>
      <c r="E1" s="92"/>
    </row>
    <row r="2" spans="2:5" ht="15">
      <c r="B2" s="3"/>
      <c r="C2" s="104" t="s">
        <v>1</v>
      </c>
      <c r="D2" s="104"/>
      <c r="E2" s="92"/>
    </row>
    <row r="3" spans="2:5" ht="15">
      <c r="B3" s="3"/>
      <c r="C3" s="104" t="s">
        <v>2</v>
      </c>
      <c r="D3" s="104"/>
      <c r="E3" s="92"/>
    </row>
    <row r="4" spans="2:5" ht="15">
      <c r="B4" s="3"/>
      <c r="C4" s="3"/>
      <c r="D4" s="3"/>
      <c r="E4" s="3"/>
    </row>
    <row r="5" spans="2:5" ht="15.75">
      <c r="B5" s="2" t="s">
        <v>170</v>
      </c>
      <c r="C5" s="3"/>
      <c r="D5" s="3"/>
      <c r="E5" s="3"/>
    </row>
    <row r="6" spans="2:5" ht="15.75">
      <c r="B6" s="2"/>
      <c r="C6" s="3"/>
      <c r="D6" s="3"/>
      <c r="E6" s="3"/>
    </row>
    <row r="7" spans="2:5" ht="15.75">
      <c r="B7" s="4" t="s">
        <v>687</v>
      </c>
      <c r="C7" s="3"/>
      <c r="D7" s="3"/>
      <c r="E7" s="3"/>
    </row>
    <row r="8" spans="2:5" ht="15">
      <c r="B8" s="3"/>
      <c r="C8" s="3"/>
      <c r="D8" s="3"/>
      <c r="E8" s="3"/>
    </row>
    <row r="9" spans="2:5" ht="12.75" customHeight="1">
      <c r="B9" s="3"/>
      <c r="C9" s="3"/>
      <c r="D9" s="3"/>
      <c r="E9" s="62" t="s">
        <v>4</v>
      </c>
    </row>
    <row r="10" spans="2:5" ht="3" customHeight="1" hidden="1">
      <c r="B10" s="3"/>
      <c r="C10" s="3"/>
      <c r="D10" s="3"/>
      <c r="E10" s="3"/>
    </row>
    <row r="11" spans="2:5" ht="15.75" thickBot="1">
      <c r="B11" s="3"/>
      <c r="C11" s="3"/>
      <c r="D11" s="3"/>
      <c r="E11" s="3"/>
    </row>
    <row r="12" spans="2:5" ht="63.75" customHeight="1" thickBot="1">
      <c r="B12" s="5" t="s">
        <v>112</v>
      </c>
      <c r="C12" s="6" t="s">
        <v>6</v>
      </c>
      <c r="D12" s="6" t="s">
        <v>113</v>
      </c>
      <c r="E12" s="6" t="s">
        <v>171</v>
      </c>
    </row>
    <row r="13" spans="2:5" ht="16.5" thickBot="1">
      <c r="B13" s="7" t="s">
        <v>172</v>
      </c>
      <c r="C13" s="8">
        <v>10</v>
      </c>
      <c r="D13" s="93">
        <f>'расчет прибыли 11'!AK4/1000</f>
        <v>7873459.38228</v>
      </c>
      <c r="E13" s="93">
        <v>7092076</v>
      </c>
    </row>
    <row r="14" spans="2:5" ht="34.5" customHeight="1" thickBot="1">
      <c r="B14" s="7" t="s">
        <v>173</v>
      </c>
      <c r="C14" s="8">
        <v>11</v>
      </c>
      <c r="D14" s="101">
        <f>'расчет прибыли 11'!AK5/1000</f>
        <v>5563019.973629999</v>
      </c>
      <c r="E14" s="94">
        <v>4743781</v>
      </c>
    </row>
    <row r="15" spans="2:5" ht="30.75" customHeight="1" thickBot="1">
      <c r="B15" s="7" t="s">
        <v>174</v>
      </c>
      <c r="C15" s="8">
        <v>12</v>
      </c>
      <c r="D15" s="72">
        <f>D13-D14</f>
        <v>2310439.4086500006</v>
      </c>
      <c r="E15" s="72">
        <f>E13-E14</f>
        <v>2348295</v>
      </c>
    </row>
    <row r="16" spans="2:5" ht="24.75" customHeight="1" thickBot="1">
      <c r="B16" s="7" t="s">
        <v>175</v>
      </c>
      <c r="C16" s="8">
        <v>13</v>
      </c>
      <c r="D16" s="10">
        <f>'расчет прибыли 11'!AK11/1000</f>
        <v>79807.45552999999</v>
      </c>
      <c r="E16" s="10">
        <v>70746</v>
      </c>
    </row>
    <row r="17" spans="2:5" ht="21" customHeight="1" thickBot="1">
      <c r="B17" s="7" t="s">
        <v>176</v>
      </c>
      <c r="C17" s="8">
        <v>14</v>
      </c>
      <c r="D17" s="10">
        <f>('расчет прибыли 11'!AK9+'расчет прибыли 11'!AK10)/1000</f>
        <v>791244.7726899999</v>
      </c>
      <c r="E17" s="10">
        <v>604889.049</v>
      </c>
    </row>
    <row r="18" spans="2:5" ht="16.5" thickBot="1">
      <c r="B18" s="7" t="s">
        <v>177</v>
      </c>
      <c r="C18" s="8">
        <v>15</v>
      </c>
      <c r="D18" s="10"/>
      <c r="E18" s="10"/>
    </row>
    <row r="19" spans="2:5" ht="16.5" thickBot="1">
      <c r="B19" s="7" t="s">
        <v>178</v>
      </c>
      <c r="C19" s="8">
        <v>16</v>
      </c>
      <c r="D19" s="10">
        <f>('расчет прибыли 11'!AK20+'расчет прибыли 11'!AK21+'расчет прибыли 11'!AK23+'расчет прибыли 11'!AK25+'расчет прибыли 11'!AK27+'расчет прибыли 11'!AK28+'расчет прибыли 11'!AK29-'расчет прибыли 11'!AK40)/1000</f>
        <v>106204.90649</v>
      </c>
      <c r="E19" s="10">
        <v>121958</v>
      </c>
    </row>
    <row r="20" spans="2:5" ht="35.25" customHeight="1" thickBot="1">
      <c r="B20" s="7" t="s">
        <v>179</v>
      </c>
      <c r="C20" s="8">
        <v>20</v>
      </c>
      <c r="D20" s="10">
        <f>D15-D16-D17+D19-D18</f>
        <v>1545592.0869200006</v>
      </c>
      <c r="E20" s="10">
        <f>E15-E16-E17+E19-E18</f>
        <v>1794617.951</v>
      </c>
    </row>
    <row r="21" spans="2:5" ht="24" customHeight="1" thickBot="1">
      <c r="B21" s="7" t="s">
        <v>180</v>
      </c>
      <c r="C21" s="8">
        <v>21</v>
      </c>
      <c r="D21" s="10">
        <f>('расчет прибыли 11'!AK22+'расчет прибыли 11'!AK30+'расчет прибыли 11'!AK31)/1000</f>
        <v>35303.468270000005</v>
      </c>
      <c r="E21" s="10">
        <v>6214</v>
      </c>
    </row>
    <row r="22" spans="2:5" ht="29.25" customHeight="1" thickBot="1">
      <c r="B22" s="7" t="s">
        <v>181</v>
      </c>
      <c r="C22" s="8">
        <v>22</v>
      </c>
      <c r="D22" s="10">
        <f>('расчет прибыли 11'!AK12+'расчет прибыли 11'!AK13)/1000</f>
        <v>232709.74241</v>
      </c>
      <c r="E22" s="10">
        <v>222232</v>
      </c>
    </row>
    <row r="23" spans="2:5" ht="62.25" customHeight="1" thickBot="1">
      <c r="B23" s="7" t="s">
        <v>182</v>
      </c>
      <c r="C23" s="8">
        <v>23</v>
      </c>
      <c r="D23" s="10"/>
      <c r="E23" s="10"/>
    </row>
    <row r="24" spans="2:5" ht="20.25" customHeight="1" thickBot="1">
      <c r="B24" s="7" t="s">
        <v>183</v>
      </c>
      <c r="C24" s="8">
        <v>24</v>
      </c>
      <c r="D24" s="10"/>
      <c r="E24" s="10"/>
    </row>
    <row r="25" spans="2:5" ht="17.25" customHeight="1" thickBot="1">
      <c r="B25" s="7" t="s">
        <v>184</v>
      </c>
      <c r="C25" s="8">
        <v>25</v>
      </c>
      <c r="D25" s="10"/>
      <c r="E25" s="10"/>
    </row>
    <row r="26" spans="2:5" ht="36" customHeight="1" thickBot="1">
      <c r="B26" s="7" t="s">
        <v>185</v>
      </c>
      <c r="C26" s="8">
        <v>100</v>
      </c>
      <c r="D26" s="72">
        <f>D20+D21-D22-D25</f>
        <v>1348185.8127800007</v>
      </c>
      <c r="E26" s="72">
        <f>E20+E21-E22-E25</f>
        <v>1578599.951</v>
      </c>
    </row>
    <row r="27" spans="2:5" ht="23.25" customHeight="1" thickBot="1">
      <c r="B27" s="7" t="s">
        <v>186</v>
      </c>
      <c r="C27" s="5">
        <v>101</v>
      </c>
      <c r="D27" s="95">
        <f>('расчет прибыли 11'!AK44+'расчет прибыли 11'!AK45)/1000</f>
        <v>220605.401</v>
      </c>
      <c r="E27" s="95">
        <v>318215</v>
      </c>
    </row>
    <row r="28" spans="2:5" ht="54.75" customHeight="1" thickBot="1">
      <c r="B28" s="7" t="s">
        <v>187</v>
      </c>
      <c r="C28" s="8">
        <v>200</v>
      </c>
      <c r="D28" s="10">
        <f>D26-D27</f>
        <v>1127580.4117800007</v>
      </c>
      <c r="E28" s="10">
        <f>E26-E27</f>
        <v>1260384.951</v>
      </c>
    </row>
    <row r="29" spans="2:5" ht="48.75" customHeight="1" thickBot="1">
      <c r="B29" s="7" t="s">
        <v>188</v>
      </c>
      <c r="C29" s="8">
        <v>201</v>
      </c>
      <c r="D29" s="10"/>
      <c r="E29" s="10"/>
    </row>
    <row r="30" spans="2:5" ht="33.75" customHeight="1" thickBot="1">
      <c r="B30" s="7" t="s">
        <v>189</v>
      </c>
      <c r="C30" s="8">
        <v>300</v>
      </c>
      <c r="D30" s="72">
        <f>D28+D29</f>
        <v>1127580.4117800007</v>
      </c>
      <c r="E30" s="72">
        <f>E28+E29</f>
        <v>1260384.951</v>
      </c>
    </row>
    <row r="31" spans="2:5" ht="16.5" thickBot="1">
      <c r="B31" s="7" t="s">
        <v>193</v>
      </c>
      <c r="C31" s="8"/>
      <c r="D31" s="10"/>
      <c r="E31" s="10"/>
    </row>
    <row r="32" spans="2:5" ht="16.5" thickBot="1">
      <c r="B32" s="7" t="s">
        <v>194</v>
      </c>
      <c r="C32" s="8"/>
      <c r="D32" s="10"/>
      <c r="E32" s="10"/>
    </row>
    <row r="33" spans="2:5" ht="15">
      <c r="B33" s="96"/>
      <c r="C33" s="3"/>
      <c r="D33" s="3"/>
      <c r="E33" s="97"/>
    </row>
    <row r="34" spans="2:5" ht="15">
      <c r="B34" s="98" t="s">
        <v>63</v>
      </c>
      <c r="C34" s="3"/>
      <c r="D34" s="3"/>
      <c r="E34" s="97"/>
    </row>
    <row r="35" spans="2:5" ht="15">
      <c r="B35" s="96"/>
      <c r="C35" s="3"/>
      <c r="D35" s="3"/>
      <c r="E35" s="97"/>
    </row>
    <row r="36" spans="2:5" ht="15">
      <c r="B36" s="98" t="s">
        <v>64</v>
      </c>
      <c r="C36" s="3"/>
      <c r="D36" s="3"/>
      <c r="E36" s="97"/>
    </row>
    <row r="37" spans="2:4" ht="18">
      <c r="B37" s="85"/>
      <c r="D37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7:M63"/>
  <sheetViews>
    <sheetView zoomScalePageLayoutView="0" workbookViewId="0" topLeftCell="A26">
      <selection activeCell="E60" sqref="E60"/>
    </sheetView>
  </sheetViews>
  <sheetFormatPr defaultColWidth="9.00390625" defaultRowHeight="12.75"/>
  <cols>
    <col min="1" max="1" width="13.625" style="0" customWidth="1"/>
    <col min="2" max="2" width="25.00390625" style="0" customWidth="1"/>
    <col min="3" max="3" width="15.125" style="0" customWidth="1"/>
    <col min="4" max="4" width="9.75390625" style="0" bestFit="1" customWidth="1"/>
    <col min="5" max="5" width="8.87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8.25390625" style="0" customWidth="1"/>
  </cols>
  <sheetData>
    <row r="1" s="17" customFormat="1" ht="12" customHeight="1"/>
    <row r="2" s="17" customFormat="1" ht="12.75" hidden="1"/>
    <row r="3" s="17" customFormat="1" ht="12.75" hidden="1"/>
    <row r="4" s="17" customFormat="1" ht="12.75" hidden="1"/>
    <row r="5" s="17" customFormat="1" ht="12.75"/>
    <row r="6" s="17" customFormat="1" ht="12.75"/>
    <row r="7" spans="1:8" s="17" customFormat="1" ht="12.75">
      <c r="A7" s="18" t="str">
        <f>+'[1]Ф1'!A1</f>
        <v>Введите название компании</v>
      </c>
      <c r="B7" s="18"/>
      <c r="C7" s="19" t="s">
        <v>65</v>
      </c>
      <c r="D7" s="19"/>
      <c r="E7" s="20"/>
      <c r="F7" s="19"/>
      <c r="G7" s="19"/>
      <c r="H7" s="19"/>
    </row>
    <row r="8" spans="1:8" s="22" customFormat="1" ht="15.75" customHeight="1">
      <c r="A8" s="21" t="s">
        <v>66</v>
      </c>
      <c r="B8" s="373" t="s">
        <v>688</v>
      </c>
      <c r="C8" s="373"/>
      <c r="D8" s="373"/>
      <c r="E8" s="373"/>
      <c r="F8" s="373"/>
      <c r="G8" s="374"/>
      <c r="H8" s="374"/>
    </row>
    <row r="9" s="17" customFormat="1" ht="13.5" thickBot="1"/>
    <row r="10" spans="1:13" s="17" customFormat="1" ht="21.75" customHeight="1" thickBot="1">
      <c r="A10" s="23" t="s">
        <v>67</v>
      </c>
      <c r="B10" s="375"/>
      <c r="C10" s="371" t="s">
        <v>68</v>
      </c>
      <c r="D10" s="371" t="s">
        <v>69</v>
      </c>
      <c r="E10" s="371" t="s">
        <v>70</v>
      </c>
      <c r="F10" s="371" t="s">
        <v>71</v>
      </c>
      <c r="G10" s="371" t="s">
        <v>72</v>
      </c>
      <c r="H10" s="371" t="s">
        <v>73</v>
      </c>
      <c r="I10" s="371" t="s">
        <v>74</v>
      </c>
      <c r="J10" s="371" t="s">
        <v>58</v>
      </c>
      <c r="K10" s="371" t="s">
        <v>75</v>
      </c>
      <c r="L10" s="371" t="s">
        <v>76</v>
      </c>
      <c r="M10" s="372" t="s">
        <v>77</v>
      </c>
    </row>
    <row r="11" spans="1:13" s="17" customFormat="1" ht="63.75" customHeight="1" thickBot="1">
      <c r="A11" s="23"/>
      <c r="B11" s="375"/>
      <c r="C11" s="376"/>
      <c r="D11" s="376"/>
      <c r="E11" s="371"/>
      <c r="F11" s="376"/>
      <c r="G11" s="371"/>
      <c r="H11" s="371"/>
      <c r="I11" s="371"/>
      <c r="J11" s="376"/>
      <c r="K11" s="371"/>
      <c r="L11" s="371"/>
      <c r="M11" s="372"/>
    </row>
    <row r="12" spans="1:13" s="17" customFormat="1" ht="13.5" thickBot="1">
      <c r="A12" s="24"/>
      <c r="B12" s="25"/>
      <c r="C12" s="26" t="s">
        <v>78</v>
      </c>
      <c r="D12" s="26" t="s">
        <v>78</v>
      </c>
      <c r="E12" s="26" t="s">
        <v>78</v>
      </c>
      <c r="F12" s="26" t="s">
        <v>78</v>
      </c>
      <c r="G12" s="26" t="s">
        <v>78</v>
      </c>
      <c r="H12" s="26" t="s">
        <v>78</v>
      </c>
      <c r="I12" s="26" t="s">
        <v>78</v>
      </c>
      <c r="J12" s="26" t="s">
        <v>78</v>
      </c>
      <c r="K12" s="26" t="s">
        <v>78</v>
      </c>
      <c r="L12" s="26" t="s">
        <v>78</v>
      </c>
      <c r="M12" s="26" t="s">
        <v>78</v>
      </c>
    </row>
    <row r="13" spans="1:13" s="17" customFormat="1" ht="24.75" customHeight="1" thickBot="1">
      <c r="A13" s="27"/>
      <c r="B13" s="28" t="s">
        <v>190</v>
      </c>
      <c r="C13" s="56">
        <v>1712762</v>
      </c>
      <c r="D13" s="56">
        <v>-38924</v>
      </c>
      <c r="E13" s="56"/>
      <c r="F13" s="56">
        <v>8443674</v>
      </c>
      <c r="G13" s="56"/>
      <c r="H13" s="56"/>
      <c r="I13" s="56"/>
      <c r="J13" s="56">
        <v>3428770</v>
      </c>
      <c r="K13" s="57">
        <f>SUM(C13:J13)</f>
        <v>13546282</v>
      </c>
      <c r="L13" s="56"/>
      <c r="M13" s="57">
        <f aca="true" t="shared" si="0" ref="M13:M34">+K13+L13</f>
        <v>13546282</v>
      </c>
    </row>
    <row r="14" spans="1:13" s="17" customFormat="1" ht="39.75" customHeight="1" thickBot="1">
      <c r="A14" s="27" t="s">
        <v>79</v>
      </c>
      <c r="B14" s="29" t="s">
        <v>80</v>
      </c>
      <c r="C14" s="58"/>
      <c r="D14" s="58"/>
      <c r="E14" s="58"/>
      <c r="F14" s="58"/>
      <c r="G14" s="58"/>
      <c r="H14" s="58"/>
      <c r="I14" s="58"/>
      <c r="J14" s="58"/>
      <c r="K14" s="59">
        <f aca="true" t="shared" si="1" ref="K14:K34">+SUM(C14:J14)</f>
        <v>0</v>
      </c>
      <c r="L14" s="58"/>
      <c r="M14" s="59">
        <f t="shared" si="0"/>
        <v>0</v>
      </c>
    </row>
    <row r="15" spans="1:13" s="17" customFormat="1" ht="34.5" customHeight="1" thickBot="1">
      <c r="A15" s="27" t="s">
        <v>79</v>
      </c>
      <c r="B15" s="29" t="s">
        <v>81</v>
      </c>
      <c r="C15" s="58"/>
      <c r="D15" s="58"/>
      <c r="E15" s="58"/>
      <c r="F15" s="58"/>
      <c r="G15" s="58"/>
      <c r="H15" s="58"/>
      <c r="I15" s="58"/>
      <c r="J15" s="58"/>
      <c r="K15" s="59">
        <f t="shared" si="1"/>
        <v>0</v>
      </c>
      <c r="L15" s="58"/>
      <c r="M15" s="59">
        <f t="shared" si="0"/>
        <v>0</v>
      </c>
    </row>
    <row r="16" spans="1:13" s="17" customFormat="1" ht="51.75" customHeight="1" thickBot="1">
      <c r="A16" s="27" t="s">
        <v>79</v>
      </c>
      <c r="B16" s="29" t="s">
        <v>82</v>
      </c>
      <c r="C16" s="58"/>
      <c r="D16" s="58"/>
      <c r="E16" s="58"/>
      <c r="F16" s="58"/>
      <c r="G16" s="58"/>
      <c r="H16" s="58"/>
      <c r="I16" s="58"/>
      <c r="J16" s="58"/>
      <c r="K16" s="59">
        <f t="shared" si="1"/>
        <v>0</v>
      </c>
      <c r="L16" s="58"/>
      <c r="M16" s="59">
        <f t="shared" si="0"/>
        <v>0</v>
      </c>
    </row>
    <row r="17" spans="1:13" s="17" customFormat="1" ht="29.25" customHeight="1" thickBot="1">
      <c r="A17" s="27" t="s">
        <v>83</v>
      </c>
      <c r="B17" s="29" t="s">
        <v>84</v>
      </c>
      <c r="C17" s="58"/>
      <c r="D17" s="58"/>
      <c r="E17" s="58"/>
      <c r="F17" s="58"/>
      <c r="G17" s="58"/>
      <c r="H17" s="58"/>
      <c r="I17" s="58"/>
      <c r="J17" s="58"/>
      <c r="K17" s="59">
        <f>+SUM(C17:J17)</f>
        <v>0</v>
      </c>
      <c r="L17" s="58"/>
      <c r="M17" s="59">
        <f t="shared" si="0"/>
        <v>0</v>
      </c>
    </row>
    <row r="18" spans="1:13" s="17" customFormat="1" ht="29.25" customHeight="1" thickBot="1">
      <c r="A18" s="27" t="s">
        <v>79</v>
      </c>
      <c r="B18" s="29" t="s">
        <v>85</v>
      </c>
      <c r="C18" s="58"/>
      <c r="D18" s="58"/>
      <c r="E18" s="58"/>
      <c r="F18" s="58"/>
      <c r="G18" s="58"/>
      <c r="H18" s="58"/>
      <c r="I18" s="58"/>
      <c r="J18" s="58"/>
      <c r="K18" s="59">
        <f t="shared" si="1"/>
        <v>0</v>
      </c>
      <c r="L18" s="58"/>
      <c r="M18" s="59">
        <f t="shared" si="0"/>
        <v>0</v>
      </c>
    </row>
    <row r="19" spans="1:13" s="17" customFormat="1" ht="40.5" customHeight="1" thickBot="1">
      <c r="A19" s="27" t="s">
        <v>79</v>
      </c>
      <c r="B19" s="28" t="s">
        <v>86</v>
      </c>
      <c r="C19" s="59">
        <f aca="true" t="shared" si="2" ref="C19:J19">+SUM(C14:C18)</f>
        <v>0</v>
      </c>
      <c r="D19" s="59">
        <f t="shared" si="2"/>
        <v>0</v>
      </c>
      <c r="E19" s="59">
        <f t="shared" si="2"/>
        <v>0</v>
      </c>
      <c r="F19" s="59"/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1"/>
        <v>0</v>
      </c>
      <c r="L19" s="59">
        <f>+SUM(L14:L18)</f>
        <v>0</v>
      </c>
      <c r="M19" s="59">
        <f t="shared" si="0"/>
        <v>0</v>
      </c>
    </row>
    <row r="20" spans="1:13" s="17" customFormat="1" ht="27.75" customHeight="1" thickBot="1">
      <c r="A20" s="27"/>
      <c r="B20" s="29" t="s">
        <v>87</v>
      </c>
      <c r="C20" s="58"/>
      <c r="D20" s="58"/>
      <c r="E20" s="58"/>
      <c r="F20" s="58"/>
      <c r="G20" s="58"/>
      <c r="H20" s="58"/>
      <c r="I20" s="58"/>
      <c r="J20" s="58"/>
      <c r="K20" s="59">
        <f t="shared" si="1"/>
        <v>0</v>
      </c>
      <c r="L20" s="58"/>
      <c r="M20" s="59">
        <f t="shared" si="0"/>
        <v>0</v>
      </c>
    </row>
    <row r="21" spans="1:13" s="17" customFormat="1" ht="46.5" customHeight="1" thickBot="1">
      <c r="A21" s="27" t="s">
        <v>88</v>
      </c>
      <c r="B21" s="29" t="s">
        <v>89</v>
      </c>
      <c r="C21" s="58"/>
      <c r="D21" s="58"/>
      <c r="E21" s="58"/>
      <c r="F21" s="58"/>
      <c r="G21" s="58"/>
      <c r="H21" s="58"/>
      <c r="I21" s="58"/>
      <c r="J21" s="58"/>
      <c r="K21" s="59">
        <f t="shared" si="1"/>
        <v>0</v>
      </c>
      <c r="L21" s="58"/>
      <c r="M21" s="59">
        <f t="shared" si="0"/>
        <v>0</v>
      </c>
    </row>
    <row r="22" spans="1:13" s="17" customFormat="1" ht="70.5" customHeight="1" thickBot="1">
      <c r="A22" s="27" t="s">
        <v>90</v>
      </c>
      <c r="B22" s="29" t="s">
        <v>91</v>
      </c>
      <c r="C22" s="58"/>
      <c r="D22" s="58"/>
      <c r="E22" s="58"/>
      <c r="F22" s="58"/>
      <c r="G22" s="58"/>
      <c r="H22" s="58"/>
      <c r="I22" s="58"/>
      <c r="J22" s="58"/>
      <c r="K22" s="59">
        <f t="shared" si="1"/>
        <v>0</v>
      </c>
      <c r="L22" s="58"/>
      <c r="M22" s="59">
        <f t="shared" si="0"/>
        <v>0</v>
      </c>
    </row>
    <row r="23" spans="1:13" s="17" customFormat="1" ht="37.5" customHeight="1" thickBot="1">
      <c r="A23" s="27"/>
      <c r="B23" s="29" t="s">
        <v>92</v>
      </c>
      <c r="C23" s="58"/>
      <c r="D23" s="58"/>
      <c r="E23" s="58"/>
      <c r="F23" s="58">
        <v>-689218.527</v>
      </c>
      <c r="G23" s="58"/>
      <c r="H23" s="58"/>
      <c r="I23" s="58"/>
      <c r="J23" s="58">
        <v>689218.527</v>
      </c>
      <c r="K23" s="59">
        <f t="shared" si="1"/>
        <v>0</v>
      </c>
      <c r="L23" s="58"/>
      <c r="M23" s="59">
        <f t="shared" si="0"/>
        <v>0</v>
      </c>
    </row>
    <row r="24" spans="1:13" s="17" customFormat="1" ht="16.5" customHeight="1" thickBot="1">
      <c r="A24" s="27"/>
      <c r="B24" s="29" t="s">
        <v>93</v>
      </c>
      <c r="C24" s="58"/>
      <c r="D24" s="58"/>
      <c r="E24" s="58"/>
      <c r="F24" s="58"/>
      <c r="G24" s="58"/>
      <c r="H24" s="58"/>
      <c r="I24" s="58"/>
      <c r="J24" s="58"/>
      <c r="K24" s="59">
        <f t="shared" si="1"/>
        <v>0</v>
      </c>
      <c r="L24" s="58"/>
      <c r="M24" s="59">
        <f t="shared" si="0"/>
        <v>0</v>
      </c>
    </row>
    <row r="25" spans="1:13" s="17" customFormat="1" ht="26.25" customHeight="1" thickBot="1">
      <c r="A25" s="27" t="s">
        <v>94</v>
      </c>
      <c r="B25" s="30" t="s">
        <v>95</v>
      </c>
      <c r="C25" s="58"/>
      <c r="D25" s="58"/>
      <c r="E25" s="58"/>
      <c r="F25" s="58"/>
      <c r="G25" s="58"/>
      <c r="H25" s="58"/>
      <c r="I25" s="58"/>
      <c r="J25" s="60">
        <v>1156627.527</v>
      </c>
      <c r="K25" s="59">
        <f t="shared" si="1"/>
        <v>1156627.527</v>
      </c>
      <c r="L25" s="58"/>
      <c r="M25" s="59">
        <f t="shared" si="0"/>
        <v>1156627.527</v>
      </c>
    </row>
    <row r="26" spans="1:13" s="17" customFormat="1" ht="23.25" thickBot="1">
      <c r="A26" s="27" t="s">
        <v>96</v>
      </c>
      <c r="B26" s="28" t="s">
        <v>97</v>
      </c>
      <c r="C26" s="58">
        <f aca="true" t="shared" si="3" ref="C26:I26">+SUM(C19:C25)</f>
        <v>0</v>
      </c>
      <c r="D26" s="58">
        <f t="shared" si="3"/>
        <v>0</v>
      </c>
      <c r="E26" s="58">
        <f t="shared" si="3"/>
        <v>0</v>
      </c>
      <c r="F26" s="58">
        <f>+SUM(F19:F25)</f>
        <v>-689218.527</v>
      </c>
      <c r="G26" s="58">
        <f t="shared" si="3"/>
        <v>0</v>
      </c>
      <c r="H26" s="58">
        <f t="shared" si="3"/>
        <v>0</v>
      </c>
      <c r="I26" s="58">
        <f t="shared" si="3"/>
        <v>0</v>
      </c>
      <c r="J26" s="60">
        <f>+SUM(J19:J25)</f>
        <v>1845846.054</v>
      </c>
      <c r="K26" s="59">
        <f>+SUM(C26:J26)</f>
        <v>1156627.527</v>
      </c>
      <c r="L26" s="58">
        <f>+SUM(L19:L25)</f>
        <v>0</v>
      </c>
      <c r="M26" s="59">
        <f>+K26+L26</f>
        <v>1156627.527</v>
      </c>
    </row>
    <row r="27" spans="1:13" s="17" customFormat="1" ht="25.5" customHeight="1" thickBot="1">
      <c r="A27" s="27" t="s">
        <v>98</v>
      </c>
      <c r="B27" s="29" t="s">
        <v>99</v>
      </c>
      <c r="C27" s="58"/>
      <c r="D27" s="58"/>
      <c r="E27" s="58"/>
      <c r="F27" s="58"/>
      <c r="G27" s="58"/>
      <c r="H27" s="58"/>
      <c r="I27" s="58"/>
      <c r="J27" s="58"/>
      <c r="K27" s="59">
        <f t="shared" si="1"/>
        <v>0</v>
      </c>
      <c r="L27" s="58"/>
      <c r="M27" s="59">
        <f t="shared" si="0"/>
        <v>0</v>
      </c>
    </row>
    <row r="28" spans="1:13" s="17" customFormat="1" ht="25.5" customHeight="1" thickBot="1">
      <c r="A28" s="27"/>
      <c r="B28" s="29" t="s">
        <v>100</v>
      </c>
      <c r="C28" s="58"/>
      <c r="D28" s="58"/>
      <c r="E28" s="58"/>
      <c r="F28" s="58"/>
      <c r="G28" s="58"/>
      <c r="H28" s="58"/>
      <c r="I28" s="58"/>
      <c r="J28" s="58"/>
      <c r="K28" s="59">
        <f t="shared" si="1"/>
        <v>0</v>
      </c>
      <c r="L28" s="58"/>
      <c r="M28" s="59">
        <f t="shared" si="0"/>
        <v>0</v>
      </c>
    </row>
    <row r="29" spans="1:13" s="17" customFormat="1" ht="27" customHeight="1" thickBot="1">
      <c r="A29" s="27" t="s">
        <v>98</v>
      </c>
      <c r="B29" s="29" t="s">
        <v>101</v>
      </c>
      <c r="C29" s="58"/>
      <c r="D29" s="58"/>
      <c r="E29" s="58"/>
      <c r="F29" s="58"/>
      <c r="G29" s="58"/>
      <c r="H29" s="58"/>
      <c r="I29" s="58"/>
      <c r="J29" s="58"/>
      <c r="K29" s="59">
        <f t="shared" si="1"/>
        <v>0</v>
      </c>
      <c r="L29" s="58"/>
      <c r="M29" s="59">
        <f t="shared" si="0"/>
        <v>0</v>
      </c>
    </row>
    <row r="30" spans="1:13" s="17" customFormat="1" ht="23.25" customHeight="1" thickBot="1">
      <c r="A30" s="27" t="s">
        <v>98</v>
      </c>
      <c r="B30" s="29" t="s">
        <v>102</v>
      </c>
      <c r="C30" s="58"/>
      <c r="D30" s="58"/>
      <c r="E30" s="58"/>
      <c r="F30" s="58"/>
      <c r="G30" s="58"/>
      <c r="H30" s="58"/>
      <c r="I30" s="58"/>
      <c r="J30" s="58"/>
      <c r="K30" s="59">
        <f t="shared" si="1"/>
        <v>0</v>
      </c>
      <c r="L30" s="58"/>
      <c r="M30" s="59">
        <f t="shared" si="0"/>
        <v>0</v>
      </c>
    </row>
    <row r="31" spans="1:13" s="17" customFormat="1" ht="27.75" customHeight="1" thickBot="1">
      <c r="A31" s="27" t="s">
        <v>98</v>
      </c>
      <c r="B31" s="29" t="s">
        <v>103</v>
      </c>
      <c r="C31" s="58"/>
      <c r="D31" s="58"/>
      <c r="E31" s="58"/>
      <c r="F31" s="58"/>
      <c r="G31" s="58"/>
      <c r="H31" s="58"/>
      <c r="I31" s="58"/>
      <c r="J31" s="58"/>
      <c r="K31" s="59">
        <f t="shared" si="1"/>
        <v>0</v>
      </c>
      <c r="L31" s="58"/>
      <c r="M31" s="59">
        <f t="shared" si="0"/>
        <v>0</v>
      </c>
    </row>
    <row r="32" spans="1:13" s="17" customFormat="1" ht="25.5" customHeight="1" thickBot="1">
      <c r="A32" s="27"/>
      <c r="B32" s="29" t="s">
        <v>104</v>
      </c>
      <c r="C32" s="58"/>
      <c r="D32" s="58"/>
      <c r="E32" s="58"/>
      <c r="F32" s="58"/>
      <c r="G32" s="58"/>
      <c r="H32" s="58"/>
      <c r="I32" s="58"/>
      <c r="J32" s="58"/>
      <c r="K32" s="59">
        <f t="shared" si="1"/>
        <v>0</v>
      </c>
      <c r="L32" s="58"/>
      <c r="M32" s="59">
        <f t="shared" si="0"/>
        <v>0</v>
      </c>
    </row>
    <row r="33" spans="1:13" s="17" customFormat="1" ht="35.25" customHeight="1" thickBot="1">
      <c r="A33" s="27" t="s">
        <v>98</v>
      </c>
      <c r="B33" s="29" t="s">
        <v>105</v>
      </c>
      <c r="C33" s="58"/>
      <c r="D33" s="58"/>
      <c r="E33" s="58"/>
      <c r="F33" s="58"/>
      <c r="G33" s="58"/>
      <c r="H33" s="58"/>
      <c r="I33" s="58"/>
      <c r="J33" s="58"/>
      <c r="K33" s="59">
        <f t="shared" si="1"/>
        <v>0</v>
      </c>
      <c r="L33" s="58"/>
      <c r="M33" s="59">
        <f t="shared" si="0"/>
        <v>0</v>
      </c>
    </row>
    <row r="34" spans="1:13" s="17" customFormat="1" ht="27" customHeight="1" thickBot="1">
      <c r="A34" s="27" t="s">
        <v>98</v>
      </c>
      <c r="B34" s="29" t="s">
        <v>106</v>
      </c>
      <c r="C34" s="58"/>
      <c r="D34" s="58"/>
      <c r="E34" s="58"/>
      <c r="F34" s="58"/>
      <c r="G34" s="58"/>
      <c r="H34" s="58"/>
      <c r="I34" s="58"/>
      <c r="J34" s="58">
        <v>-249924.527</v>
      </c>
      <c r="K34" s="59">
        <f t="shared" si="1"/>
        <v>-249924.527</v>
      </c>
      <c r="L34" s="58"/>
      <c r="M34" s="59">
        <f t="shared" si="0"/>
        <v>-249924.527</v>
      </c>
    </row>
    <row r="35" spans="1:13" s="17" customFormat="1" ht="26.25" customHeight="1" thickBot="1">
      <c r="A35" s="31"/>
      <c r="B35" s="32" t="s">
        <v>381</v>
      </c>
      <c r="C35" s="56">
        <f aca="true" t="shared" si="4" ref="C35:J35">+C13+C26+SUM(C27:C34)</f>
        <v>1712762</v>
      </c>
      <c r="D35" s="56">
        <f t="shared" si="4"/>
        <v>-38924</v>
      </c>
      <c r="E35" s="56">
        <f t="shared" si="4"/>
        <v>0</v>
      </c>
      <c r="F35" s="56">
        <f t="shared" si="4"/>
        <v>7754455.473</v>
      </c>
      <c r="G35" s="56">
        <f t="shared" si="4"/>
        <v>0</v>
      </c>
      <c r="H35" s="56">
        <f t="shared" si="4"/>
        <v>0</v>
      </c>
      <c r="I35" s="56">
        <f t="shared" si="4"/>
        <v>0</v>
      </c>
      <c r="J35" s="56">
        <f t="shared" si="4"/>
        <v>5024691.527</v>
      </c>
      <c r="K35" s="57">
        <f>+SUM(C35:J35)</f>
        <v>14452985</v>
      </c>
      <c r="L35" s="56">
        <f>+L13+L26+SUM(L27:L34)</f>
        <v>0</v>
      </c>
      <c r="M35" s="57">
        <f>+K35+L35</f>
        <v>14452985</v>
      </c>
    </row>
    <row r="36" spans="1:13" s="33" customFormat="1" ht="32.25" customHeight="1" thickBot="1">
      <c r="A36" s="31"/>
      <c r="B36" s="32" t="s">
        <v>382</v>
      </c>
      <c r="C36" s="56">
        <f>C35</f>
        <v>1712762</v>
      </c>
      <c r="D36" s="56">
        <f aca="true" t="shared" si="5" ref="D36:L36">D35</f>
        <v>-38924</v>
      </c>
      <c r="E36" s="56">
        <f t="shared" si="5"/>
        <v>0</v>
      </c>
      <c r="F36" s="56">
        <f>F35</f>
        <v>7754455.473</v>
      </c>
      <c r="G36" s="56">
        <f t="shared" si="5"/>
        <v>0</v>
      </c>
      <c r="H36" s="56">
        <f t="shared" si="5"/>
        <v>0</v>
      </c>
      <c r="I36" s="56">
        <f t="shared" si="5"/>
        <v>0</v>
      </c>
      <c r="J36" s="56">
        <v>5024691.277</v>
      </c>
      <c r="K36" s="57">
        <f>+SUM(C36:J36)</f>
        <v>14452984.75</v>
      </c>
      <c r="L36" s="56">
        <f t="shared" si="5"/>
        <v>0</v>
      </c>
      <c r="M36" s="57">
        <f>+K36+L36</f>
        <v>14452984.75</v>
      </c>
    </row>
    <row r="37" spans="1:13" s="17" customFormat="1" ht="39.75" customHeight="1" thickBot="1">
      <c r="A37" s="27" t="s">
        <v>79</v>
      </c>
      <c r="B37" s="29" t="s">
        <v>80</v>
      </c>
      <c r="C37" s="58"/>
      <c r="D37" s="58"/>
      <c r="E37" s="58"/>
      <c r="F37" s="58"/>
      <c r="G37" s="58"/>
      <c r="H37" s="58"/>
      <c r="I37" s="58"/>
      <c r="J37" s="58"/>
      <c r="K37" s="59">
        <f aca="true" t="shared" si="6" ref="K37:K57">+SUM(C37:J37)</f>
        <v>0</v>
      </c>
      <c r="L37" s="58"/>
      <c r="M37" s="59">
        <f>+K37+L37</f>
        <v>0</v>
      </c>
    </row>
    <row r="38" spans="1:13" s="17" customFormat="1" ht="34.5" customHeight="1" thickBot="1">
      <c r="A38" s="27" t="s">
        <v>79</v>
      </c>
      <c r="B38" s="29" t="s">
        <v>81</v>
      </c>
      <c r="C38" s="58"/>
      <c r="D38" s="58"/>
      <c r="E38" s="58"/>
      <c r="F38" s="58"/>
      <c r="G38" s="58"/>
      <c r="H38" s="58"/>
      <c r="I38" s="58"/>
      <c r="J38" s="58"/>
      <c r="K38" s="59">
        <f t="shared" si="6"/>
        <v>0</v>
      </c>
      <c r="L38" s="58"/>
      <c r="M38" s="59">
        <f aca="true" t="shared" si="7" ref="M38:M57">+K38+L38</f>
        <v>0</v>
      </c>
    </row>
    <row r="39" spans="1:13" s="17" customFormat="1" ht="51.75" customHeight="1" thickBot="1">
      <c r="A39" s="27" t="s">
        <v>79</v>
      </c>
      <c r="B39" s="29" t="s">
        <v>82</v>
      </c>
      <c r="C39" s="58"/>
      <c r="D39" s="58"/>
      <c r="E39" s="58"/>
      <c r="F39" s="58"/>
      <c r="G39" s="58"/>
      <c r="H39" s="58"/>
      <c r="I39" s="58"/>
      <c r="J39" s="58"/>
      <c r="K39" s="59">
        <f t="shared" si="6"/>
        <v>0</v>
      </c>
      <c r="L39" s="58"/>
      <c r="M39" s="59">
        <f t="shared" si="7"/>
        <v>0</v>
      </c>
    </row>
    <row r="40" spans="1:13" s="17" customFormat="1" ht="29.25" customHeight="1" thickBot="1">
      <c r="A40" s="27" t="s">
        <v>83</v>
      </c>
      <c r="B40" s="29" t="s">
        <v>84</v>
      </c>
      <c r="C40" s="58"/>
      <c r="D40" s="58"/>
      <c r="E40" s="58"/>
      <c r="F40" s="58"/>
      <c r="G40" s="58"/>
      <c r="H40" s="58"/>
      <c r="I40" s="58"/>
      <c r="J40" s="58"/>
      <c r="K40" s="59">
        <f t="shared" si="6"/>
        <v>0</v>
      </c>
      <c r="L40" s="58"/>
      <c r="M40" s="59">
        <f t="shared" si="7"/>
        <v>0</v>
      </c>
    </row>
    <row r="41" spans="1:13" s="17" customFormat="1" ht="29.25" customHeight="1" thickBot="1">
      <c r="A41" s="27" t="s">
        <v>79</v>
      </c>
      <c r="B41" s="29" t="s">
        <v>85</v>
      </c>
      <c r="C41" s="58"/>
      <c r="D41" s="58"/>
      <c r="E41" s="58"/>
      <c r="F41" s="58"/>
      <c r="G41" s="58"/>
      <c r="H41" s="58"/>
      <c r="I41" s="58"/>
      <c r="J41" s="58"/>
      <c r="K41" s="59">
        <f t="shared" si="6"/>
        <v>0</v>
      </c>
      <c r="L41" s="58"/>
      <c r="M41" s="59">
        <f t="shared" si="7"/>
        <v>0</v>
      </c>
    </row>
    <row r="42" spans="1:13" s="17" customFormat="1" ht="40.5" customHeight="1" thickBot="1">
      <c r="A42" s="27" t="s">
        <v>79</v>
      </c>
      <c r="B42" s="28" t="s">
        <v>86</v>
      </c>
      <c r="C42" s="59">
        <f aca="true" t="shared" si="8" ref="C42:J42">+SUM(C37:C41)</f>
        <v>0</v>
      </c>
      <c r="D42" s="59">
        <f t="shared" si="8"/>
        <v>0</v>
      </c>
      <c r="E42" s="59">
        <f t="shared" si="8"/>
        <v>0</v>
      </c>
      <c r="F42" s="59">
        <f>+SUM(F37:F41)</f>
        <v>0</v>
      </c>
      <c r="G42" s="59">
        <f t="shared" si="8"/>
        <v>0</v>
      </c>
      <c r="H42" s="59">
        <f t="shared" si="8"/>
        <v>0</v>
      </c>
      <c r="I42" s="59">
        <f t="shared" si="8"/>
        <v>0</v>
      </c>
      <c r="J42" s="59">
        <f t="shared" si="8"/>
        <v>0</v>
      </c>
      <c r="K42" s="59">
        <f t="shared" si="6"/>
        <v>0</v>
      </c>
      <c r="L42" s="59">
        <f>+SUM(L37:L41)</f>
        <v>0</v>
      </c>
      <c r="M42" s="59">
        <f t="shared" si="7"/>
        <v>0</v>
      </c>
    </row>
    <row r="43" spans="1:13" s="17" customFormat="1" ht="27.75" customHeight="1" thickBot="1">
      <c r="A43" s="27"/>
      <c r="B43" s="29" t="s">
        <v>87</v>
      </c>
      <c r="C43" s="58"/>
      <c r="D43" s="58"/>
      <c r="E43" s="58"/>
      <c r="F43" s="58"/>
      <c r="G43" s="58"/>
      <c r="H43" s="58"/>
      <c r="I43" s="58"/>
      <c r="J43" s="58"/>
      <c r="K43" s="59">
        <f t="shared" si="6"/>
        <v>0</v>
      </c>
      <c r="L43" s="58"/>
      <c r="M43" s="59">
        <f t="shared" si="7"/>
        <v>0</v>
      </c>
    </row>
    <row r="44" spans="1:13" s="17" customFormat="1" ht="56.25" customHeight="1" thickBot="1">
      <c r="A44" s="27" t="s">
        <v>88</v>
      </c>
      <c r="B44" s="29" t="s">
        <v>89</v>
      </c>
      <c r="C44" s="58"/>
      <c r="D44" s="58"/>
      <c r="E44" s="58"/>
      <c r="F44" s="58"/>
      <c r="G44" s="58"/>
      <c r="H44" s="58"/>
      <c r="I44" s="58"/>
      <c r="J44" s="58"/>
      <c r="K44" s="59">
        <f t="shared" si="6"/>
        <v>0</v>
      </c>
      <c r="L44" s="58"/>
      <c r="M44" s="59">
        <f t="shared" si="7"/>
        <v>0</v>
      </c>
    </row>
    <row r="45" spans="1:13" s="17" customFormat="1" ht="70.5" customHeight="1" thickBot="1">
      <c r="A45" s="27" t="s">
        <v>90</v>
      </c>
      <c r="B45" s="29" t="s">
        <v>91</v>
      </c>
      <c r="C45" s="58"/>
      <c r="D45" s="58"/>
      <c r="E45" s="58"/>
      <c r="F45" s="58"/>
      <c r="G45" s="58"/>
      <c r="H45" s="58"/>
      <c r="I45" s="58"/>
      <c r="J45" s="58"/>
      <c r="K45" s="59">
        <f t="shared" si="6"/>
        <v>0</v>
      </c>
      <c r="L45" s="58"/>
      <c r="M45" s="59">
        <f t="shared" si="7"/>
        <v>0</v>
      </c>
    </row>
    <row r="46" spans="1:13" s="17" customFormat="1" ht="37.5" customHeight="1" thickBot="1">
      <c r="A46" s="34"/>
      <c r="B46" s="29" t="s">
        <v>92</v>
      </c>
      <c r="C46" s="58"/>
      <c r="D46" s="58"/>
      <c r="E46" s="58"/>
      <c r="F46" s="58">
        <v>-517543.915</v>
      </c>
      <c r="G46" s="58"/>
      <c r="H46" s="58"/>
      <c r="I46" s="58"/>
      <c r="J46" s="58">
        <v>517543.915</v>
      </c>
      <c r="K46" s="59"/>
      <c r="L46" s="58"/>
      <c r="M46" s="59"/>
    </row>
    <row r="47" spans="1:13" s="17" customFormat="1" ht="15" thickBot="1">
      <c r="A47" s="34"/>
      <c r="B47" s="29" t="s">
        <v>93</v>
      </c>
      <c r="C47" s="58"/>
      <c r="D47" s="58"/>
      <c r="E47" s="58"/>
      <c r="F47" s="58"/>
      <c r="G47" s="58"/>
      <c r="H47" s="58"/>
      <c r="I47" s="58"/>
      <c r="J47" s="58"/>
      <c r="K47" s="59">
        <f t="shared" si="6"/>
        <v>0</v>
      </c>
      <c r="L47" s="58"/>
      <c r="M47" s="59">
        <f t="shared" si="7"/>
        <v>0</v>
      </c>
    </row>
    <row r="48" spans="1:13" s="17" customFormat="1" ht="26.25" customHeight="1" thickBot="1">
      <c r="A48" s="27" t="s">
        <v>94</v>
      </c>
      <c r="B48" s="30" t="s">
        <v>95</v>
      </c>
      <c r="C48" s="58"/>
      <c r="D48" s="58"/>
      <c r="E48" s="58"/>
      <c r="F48" s="58"/>
      <c r="G48" s="58"/>
      <c r="H48" s="58"/>
      <c r="I48" s="58"/>
      <c r="J48" s="60">
        <f>1127580.411</f>
        <v>1127580.411</v>
      </c>
      <c r="K48" s="59">
        <f t="shared" si="6"/>
        <v>1127580.411</v>
      </c>
      <c r="L48" s="58"/>
      <c r="M48" s="59">
        <f t="shared" si="7"/>
        <v>1127580.411</v>
      </c>
    </row>
    <row r="49" spans="1:13" s="17" customFormat="1" ht="23.25" thickBot="1">
      <c r="A49" s="27" t="s">
        <v>96</v>
      </c>
      <c r="B49" s="28" t="s">
        <v>97</v>
      </c>
      <c r="C49" s="58">
        <f aca="true" t="shared" si="9" ref="C49:I49">+SUM(C42:C48)</f>
        <v>0</v>
      </c>
      <c r="D49" s="58">
        <f t="shared" si="9"/>
        <v>0</v>
      </c>
      <c r="E49" s="58">
        <f t="shared" si="9"/>
        <v>0</v>
      </c>
      <c r="F49" s="58">
        <f>+SUM(F42:F48)</f>
        <v>-517543.915</v>
      </c>
      <c r="G49" s="58">
        <f t="shared" si="9"/>
        <v>0</v>
      </c>
      <c r="H49" s="58">
        <f t="shared" si="9"/>
        <v>0</v>
      </c>
      <c r="I49" s="58">
        <f t="shared" si="9"/>
        <v>0</v>
      </c>
      <c r="J49" s="60">
        <f>+SUM(J42:J48)</f>
        <v>1645124.3260000001</v>
      </c>
      <c r="K49" s="59">
        <f>+SUM(C49:J49)</f>
        <v>1127580.411</v>
      </c>
      <c r="L49" s="58">
        <f>+SUM(L42:L48)</f>
        <v>0</v>
      </c>
      <c r="M49" s="59">
        <f>+K49+L49</f>
        <v>1127580.411</v>
      </c>
    </row>
    <row r="50" spans="1:13" s="17" customFormat="1" ht="25.5" customHeight="1" thickBot="1">
      <c r="A50" s="27" t="s">
        <v>98</v>
      </c>
      <c r="B50" s="29" t="s">
        <v>99</v>
      </c>
      <c r="C50" s="58"/>
      <c r="D50" s="58"/>
      <c r="E50" s="58"/>
      <c r="F50" s="58"/>
      <c r="G50" s="58"/>
      <c r="H50" s="58"/>
      <c r="I50" s="58"/>
      <c r="J50" s="58"/>
      <c r="K50" s="59">
        <f t="shared" si="6"/>
        <v>0</v>
      </c>
      <c r="L50" s="58"/>
      <c r="M50" s="59">
        <f t="shared" si="7"/>
        <v>0</v>
      </c>
    </row>
    <row r="51" spans="1:13" s="17" customFormat="1" ht="25.5" customHeight="1" thickBot="1">
      <c r="A51" s="27"/>
      <c r="B51" s="29" t="s">
        <v>100</v>
      </c>
      <c r="C51" s="58"/>
      <c r="D51" s="58"/>
      <c r="E51" s="58"/>
      <c r="F51" s="58"/>
      <c r="G51" s="58"/>
      <c r="H51" s="58"/>
      <c r="I51" s="58"/>
      <c r="J51" s="58"/>
      <c r="K51" s="59">
        <f t="shared" si="6"/>
        <v>0</v>
      </c>
      <c r="L51" s="58"/>
      <c r="M51" s="59">
        <f t="shared" si="7"/>
        <v>0</v>
      </c>
    </row>
    <row r="52" spans="1:13" s="17" customFormat="1" ht="27" customHeight="1" thickBot="1">
      <c r="A52" s="27" t="s">
        <v>98</v>
      </c>
      <c r="B52" s="29" t="s">
        <v>101</v>
      </c>
      <c r="C52" s="58"/>
      <c r="D52" s="58"/>
      <c r="E52" s="58"/>
      <c r="F52" s="58"/>
      <c r="G52" s="58"/>
      <c r="H52" s="58"/>
      <c r="I52" s="58"/>
      <c r="J52" s="58"/>
      <c r="K52" s="59">
        <f t="shared" si="6"/>
        <v>0</v>
      </c>
      <c r="L52" s="58"/>
      <c r="M52" s="59">
        <f t="shared" si="7"/>
        <v>0</v>
      </c>
    </row>
    <row r="53" spans="1:13" s="17" customFormat="1" ht="23.25" customHeight="1" thickBot="1">
      <c r="A53" s="27" t="s">
        <v>98</v>
      </c>
      <c r="B53" s="29" t="s">
        <v>102</v>
      </c>
      <c r="C53" s="58"/>
      <c r="D53" s="58"/>
      <c r="E53" s="58"/>
      <c r="F53" s="58"/>
      <c r="G53" s="58"/>
      <c r="H53" s="58"/>
      <c r="I53" s="58"/>
      <c r="J53" s="58"/>
      <c r="K53" s="59">
        <f t="shared" si="6"/>
        <v>0</v>
      </c>
      <c r="L53" s="58"/>
      <c r="M53" s="59">
        <f t="shared" si="7"/>
        <v>0</v>
      </c>
    </row>
    <row r="54" spans="1:13" s="17" customFormat="1" ht="27.75" customHeight="1" thickBot="1">
      <c r="A54" s="27" t="s">
        <v>98</v>
      </c>
      <c r="B54" s="29" t="s">
        <v>103</v>
      </c>
      <c r="C54" s="58"/>
      <c r="D54" s="58"/>
      <c r="E54" s="58"/>
      <c r="F54" s="58"/>
      <c r="G54" s="58"/>
      <c r="H54" s="58"/>
      <c r="I54" s="58"/>
      <c r="J54" s="58"/>
      <c r="K54" s="59">
        <f t="shared" si="6"/>
        <v>0</v>
      </c>
      <c r="L54" s="58"/>
      <c r="M54" s="59">
        <f t="shared" si="7"/>
        <v>0</v>
      </c>
    </row>
    <row r="55" spans="1:13" s="17" customFormat="1" ht="25.5" customHeight="1" thickBot="1">
      <c r="A55" s="27"/>
      <c r="B55" s="29" t="s">
        <v>104</v>
      </c>
      <c r="C55" s="58"/>
      <c r="D55" s="58"/>
      <c r="E55" s="58"/>
      <c r="F55" s="58"/>
      <c r="G55" s="58"/>
      <c r="H55" s="58"/>
      <c r="I55" s="58"/>
      <c r="J55" s="58"/>
      <c r="K55" s="59">
        <f t="shared" si="6"/>
        <v>0</v>
      </c>
      <c r="L55" s="58"/>
      <c r="M55" s="59">
        <f t="shared" si="7"/>
        <v>0</v>
      </c>
    </row>
    <row r="56" spans="1:13" s="17" customFormat="1" ht="35.25" customHeight="1" thickBot="1">
      <c r="A56" s="27" t="s">
        <v>98</v>
      </c>
      <c r="B56" s="29" t="s">
        <v>105</v>
      </c>
      <c r="C56" s="58"/>
      <c r="D56" s="58"/>
      <c r="E56" s="58"/>
      <c r="F56" s="58"/>
      <c r="G56" s="58"/>
      <c r="H56" s="58"/>
      <c r="I56" s="58"/>
      <c r="J56" s="58"/>
      <c r="K56" s="59">
        <f t="shared" si="6"/>
        <v>0</v>
      </c>
      <c r="L56" s="58"/>
      <c r="M56" s="59">
        <f t="shared" si="7"/>
        <v>0</v>
      </c>
    </row>
    <row r="57" spans="1:13" s="17" customFormat="1" ht="27" customHeight="1" thickBot="1">
      <c r="A57" s="27" t="s">
        <v>98</v>
      </c>
      <c r="B57" s="29" t="s">
        <v>106</v>
      </c>
      <c r="C57" s="58"/>
      <c r="D57" s="58"/>
      <c r="E57" s="58"/>
      <c r="F57" s="58"/>
      <c r="G57" s="58"/>
      <c r="H57" s="58"/>
      <c r="I57" s="58"/>
      <c r="J57" s="58">
        <v>-428420</v>
      </c>
      <c r="K57" s="59">
        <f t="shared" si="6"/>
        <v>-428420</v>
      </c>
      <c r="L57" s="58"/>
      <c r="M57" s="59">
        <f t="shared" si="7"/>
        <v>-428420</v>
      </c>
    </row>
    <row r="58" spans="1:13" s="17" customFormat="1" ht="20.25" customHeight="1" thickBot="1">
      <c r="A58" s="27"/>
      <c r="B58" s="35" t="s">
        <v>107</v>
      </c>
      <c r="C58" s="58">
        <f aca="true" t="shared" si="10" ref="C58:I58">+C36+C49+SUM(C50:C57)</f>
        <v>1712762</v>
      </c>
      <c r="D58" s="58">
        <f t="shared" si="10"/>
        <v>-38924</v>
      </c>
      <c r="E58" s="58">
        <f t="shared" si="10"/>
        <v>0</v>
      </c>
      <c r="F58" s="58">
        <f>+F36+F49+SUM(F50:F57)</f>
        <v>7236911.558</v>
      </c>
      <c r="G58" s="58">
        <f t="shared" si="10"/>
        <v>0</v>
      </c>
      <c r="H58" s="58">
        <f t="shared" si="10"/>
        <v>0</v>
      </c>
      <c r="I58" s="58">
        <f t="shared" si="10"/>
        <v>0</v>
      </c>
      <c r="J58" s="61">
        <f>+J36+J49+SUM(J50:J57)</f>
        <v>6241395.603</v>
      </c>
      <c r="K58" s="59">
        <f>+SUM(C58:J58)</f>
        <v>15152145.161</v>
      </c>
      <c r="L58" s="58">
        <f>+L35+L49+SUM(L50:L57)</f>
        <v>0</v>
      </c>
      <c r="M58" s="59">
        <f>+K58+L58</f>
        <v>15152145.161</v>
      </c>
    </row>
    <row r="59" spans="1:13" s="17" customFormat="1" ht="15">
      <c r="A59" s="36"/>
      <c r="B59" s="37"/>
      <c r="C59" s="38"/>
      <c r="D59" s="38"/>
      <c r="E59" s="38"/>
      <c r="F59" s="38"/>
      <c r="G59" s="38"/>
      <c r="H59" s="38"/>
      <c r="I59" s="38"/>
      <c r="J59" s="39"/>
      <c r="K59" s="339"/>
      <c r="L59" s="38"/>
      <c r="M59" s="41"/>
    </row>
    <row r="60" spans="1:13" s="17" customFormat="1" ht="15">
      <c r="A60" s="36"/>
      <c r="B60" s="42"/>
      <c r="C60" s="38"/>
      <c r="D60" s="38"/>
      <c r="E60" s="38"/>
      <c r="F60" s="38"/>
      <c r="G60" s="38"/>
      <c r="H60" s="38"/>
      <c r="I60" s="38"/>
      <c r="J60" s="39"/>
      <c r="K60" s="339"/>
      <c r="L60" s="38"/>
      <c r="M60" s="41"/>
    </row>
    <row r="61" s="17" customFormat="1" ht="15">
      <c r="B61" s="43" t="s">
        <v>63</v>
      </c>
    </row>
    <row r="62" s="17" customFormat="1" ht="12.75">
      <c r="B62" s="340"/>
    </row>
    <row r="63" s="17" customFormat="1" ht="15">
      <c r="B63" s="43" t="s">
        <v>64</v>
      </c>
    </row>
  </sheetData>
  <sheetProtection/>
  <mergeCells count="13">
    <mergeCell ref="L10:L11"/>
    <mergeCell ref="M10:M11"/>
    <mergeCell ref="B8:H8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B2:J80"/>
  <sheetViews>
    <sheetView workbookViewId="0" topLeftCell="A1">
      <selection activeCell="D18" sqref="D18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2" ht="12.75">
      <c r="D2" s="1" t="s">
        <v>0</v>
      </c>
    </row>
    <row r="3" spans="3:4" ht="12.75">
      <c r="C3" s="1" t="s">
        <v>1</v>
      </c>
      <c r="D3" s="1"/>
    </row>
    <row r="4" spans="3:5" ht="12.75">
      <c r="C4" s="1" t="s">
        <v>2</v>
      </c>
      <c r="D4" s="1"/>
      <c r="E4" s="1"/>
    </row>
    <row r="5" spans="2:6" ht="15.75">
      <c r="B5" s="2" t="s">
        <v>3</v>
      </c>
      <c r="C5" s="3"/>
      <c r="D5" s="3"/>
      <c r="E5" s="3"/>
      <c r="F5" s="3"/>
    </row>
    <row r="6" spans="2:6" ht="15.75">
      <c r="B6" s="2"/>
      <c r="C6" s="3"/>
      <c r="D6" s="3"/>
      <c r="E6" s="3"/>
      <c r="F6" s="3"/>
    </row>
    <row r="7" spans="2:6" ht="15.75">
      <c r="B7" s="364" t="s">
        <v>694</v>
      </c>
      <c r="C7" s="364"/>
      <c r="D7" s="3"/>
      <c r="E7" s="3"/>
      <c r="F7" s="3"/>
    </row>
    <row r="8" spans="2:6" ht="15.75">
      <c r="B8" s="4"/>
      <c r="C8" s="3"/>
      <c r="D8" s="3"/>
      <c r="E8" s="3"/>
      <c r="F8" s="3"/>
    </row>
    <row r="9" spans="2:6" ht="7.5" customHeight="1">
      <c r="B9" s="3"/>
      <c r="C9" s="3"/>
      <c r="D9" s="3"/>
      <c r="E9" s="3"/>
      <c r="F9" s="3"/>
    </row>
    <row r="10" spans="2:6" ht="15" customHeight="1">
      <c r="B10" s="3"/>
      <c r="C10" s="3"/>
      <c r="D10" s="3"/>
      <c r="E10" s="62" t="s">
        <v>4</v>
      </c>
      <c r="F10" s="3"/>
    </row>
    <row r="11" spans="2:6" ht="1.5" customHeight="1" hidden="1">
      <c r="B11" s="3"/>
      <c r="C11" s="3"/>
      <c r="D11" s="3"/>
      <c r="E11" s="3"/>
      <c r="F11" s="3"/>
    </row>
    <row r="12" spans="2:6" ht="15.75" thickBot="1">
      <c r="B12" s="3"/>
      <c r="C12" s="3"/>
      <c r="D12" s="3"/>
      <c r="E12" s="3"/>
      <c r="F12" s="3"/>
    </row>
    <row r="13" spans="2:6" ht="48" thickBot="1">
      <c r="B13" s="5" t="s">
        <v>5</v>
      </c>
      <c r="C13" s="6" t="s">
        <v>6</v>
      </c>
      <c r="D13" s="6" t="s">
        <v>7</v>
      </c>
      <c r="E13" s="6" t="s">
        <v>8</v>
      </c>
      <c r="F13" s="3"/>
    </row>
    <row r="14" spans="2:6" ht="16.5" thickBot="1">
      <c r="B14" s="7" t="s">
        <v>9</v>
      </c>
      <c r="C14" s="8"/>
      <c r="D14" s="8"/>
      <c r="E14" s="8"/>
      <c r="F14" s="3"/>
    </row>
    <row r="15" spans="2:6" ht="16.5" thickBot="1">
      <c r="B15" s="7" t="s">
        <v>10</v>
      </c>
      <c r="C15" s="8">
        <v>10</v>
      </c>
      <c r="D15" s="75">
        <f>осв2014!F6/1000</f>
        <v>685637.4903</v>
      </c>
      <c r="E15" s="76">
        <v>1720310</v>
      </c>
      <c r="F15" s="3"/>
    </row>
    <row r="16" spans="2:6" ht="32.25" thickBot="1">
      <c r="B16" s="7" t="s">
        <v>11</v>
      </c>
      <c r="C16" s="8">
        <v>11</v>
      </c>
      <c r="D16" s="10"/>
      <c r="E16" s="9"/>
      <c r="F16" s="3"/>
    </row>
    <row r="17" spans="2:6" ht="16.5" thickBot="1">
      <c r="B17" s="7" t="s">
        <v>12</v>
      </c>
      <c r="C17" s="8">
        <v>12</v>
      </c>
      <c r="D17" s="10"/>
      <c r="E17" s="9"/>
      <c r="F17" s="3"/>
    </row>
    <row r="18" spans="2:6" ht="48" thickBot="1">
      <c r="B18" s="7" t="s">
        <v>13</v>
      </c>
      <c r="C18" s="8">
        <v>13</v>
      </c>
      <c r="D18" s="10"/>
      <c r="E18" s="9"/>
      <c r="F18" s="3"/>
    </row>
    <row r="19" spans="2:6" ht="32.25" thickBot="1">
      <c r="B19" s="7" t="s">
        <v>14</v>
      </c>
      <c r="C19" s="8">
        <v>14</v>
      </c>
      <c r="D19" s="10"/>
      <c r="E19" s="9"/>
      <c r="F19" s="3"/>
    </row>
    <row r="20" spans="2:6" ht="32.25" thickBot="1">
      <c r="B20" s="7" t="s">
        <v>15</v>
      </c>
      <c r="C20" s="8">
        <v>15</v>
      </c>
      <c r="D20" s="10"/>
      <c r="E20" s="9"/>
      <c r="F20" s="3"/>
    </row>
    <row r="21" spans="2:9" ht="32.25" thickBot="1">
      <c r="B21" s="7" t="s">
        <v>16</v>
      </c>
      <c r="C21" s="8">
        <v>16</v>
      </c>
      <c r="D21" s="16">
        <f>(осв2014!F19+осв2014!F22+осв2014!F23+осв2014!F29+осв2014!F49+осв2014!F52+осв2014!F53-осв2014!G33+292851)/1000</f>
        <v>887395.5163399999</v>
      </c>
      <c r="E21" s="16">
        <v>781327</v>
      </c>
      <c r="F21" s="3"/>
      <c r="G21" s="51"/>
      <c r="I21" s="51"/>
    </row>
    <row r="22" spans="2:7" ht="16.5" thickBot="1">
      <c r="B22" s="7" t="s">
        <v>17</v>
      </c>
      <c r="C22" s="8">
        <v>17</v>
      </c>
      <c r="D22" s="16">
        <f>осв2014!F48/1000</f>
        <v>48286.44479</v>
      </c>
      <c r="E22" s="14">
        <v>46123</v>
      </c>
      <c r="F22" s="3"/>
      <c r="G22" s="51"/>
    </row>
    <row r="23" spans="2:7" ht="16.5" thickBot="1">
      <c r="B23" s="7" t="s">
        <v>18</v>
      </c>
      <c r="C23" s="8">
        <v>18</v>
      </c>
      <c r="D23" s="16">
        <f>осв2014!F36/1000</f>
        <v>225472.36380000002</v>
      </c>
      <c r="E23" s="14">
        <v>209303</v>
      </c>
      <c r="F23" s="3"/>
      <c r="G23" s="51"/>
    </row>
    <row r="24" spans="2:7" ht="16.5" thickBot="1">
      <c r="B24" s="7" t="s">
        <v>19</v>
      </c>
      <c r="C24" s="8">
        <v>19</v>
      </c>
      <c r="D24" s="10"/>
      <c r="E24" s="9"/>
      <c r="F24" s="3"/>
      <c r="G24" s="51"/>
    </row>
    <row r="25" spans="2:6" ht="32.25" thickBot="1">
      <c r="B25" s="7" t="s">
        <v>20</v>
      </c>
      <c r="C25" s="8">
        <v>100</v>
      </c>
      <c r="D25" s="72">
        <f>SUM(D15:D24)</f>
        <v>1846791.8152299998</v>
      </c>
      <c r="E25" s="15">
        <f>SUM(E15:E24)</f>
        <v>2757063</v>
      </c>
      <c r="F25" s="3"/>
    </row>
    <row r="26" spans="2:7" ht="32.25" thickBot="1">
      <c r="B26" s="7" t="s">
        <v>21</v>
      </c>
      <c r="C26" s="8">
        <v>101</v>
      </c>
      <c r="D26" s="10"/>
      <c r="E26" s="9"/>
      <c r="F26" s="3"/>
      <c r="G26" s="51"/>
    </row>
    <row r="27" spans="2:7" ht="16.5" thickBot="1">
      <c r="B27" s="7" t="s">
        <v>22</v>
      </c>
      <c r="C27" s="8"/>
      <c r="D27" s="10"/>
      <c r="E27" s="9"/>
      <c r="F27" s="3"/>
      <c r="G27" s="51"/>
    </row>
    <row r="28" spans="2:7" ht="32.25" thickBot="1">
      <c r="B28" s="7" t="s">
        <v>11</v>
      </c>
      <c r="C28" s="8">
        <v>110</v>
      </c>
      <c r="D28" s="10"/>
      <c r="E28" s="9"/>
      <c r="F28" s="3"/>
      <c r="G28" s="51"/>
    </row>
    <row r="29" spans="2:7" ht="16.5" thickBot="1">
      <c r="B29" s="7" t="s">
        <v>12</v>
      </c>
      <c r="C29" s="8">
        <v>111</v>
      </c>
      <c r="D29" s="10"/>
      <c r="E29" s="9"/>
      <c r="F29" s="3"/>
      <c r="G29" s="51"/>
    </row>
    <row r="30" spans="2:7" ht="48" thickBot="1">
      <c r="B30" s="7" t="s">
        <v>13</v>
      </c>
      <c r="C30" s="8">
        <v>112</v>
      </c>
      <c r="D30" s="10"/>
      <c r="E30" s="9"/>
      <c r="F30" s="3"/>
      <c r="G30" s="51"/>
    </row>
    <row r="31" spans="2:7" ht="32.25" thickBot="1">
      <c r="B31" s="7" t="s">
        <v>14</v>
      </c>
      <c r="C31" s="8">
        <v>113</v>
      </c>
      <c r="D31" s="10"/>
      <c r="E31" s="9"/>
      <c r="F31" s="3"/>
      <c r="G31" s="51"/>
    </row>
    <row r="32" spans="2:7" ht="16.5" thickBot="1">
      <c r="B32" s="7" t="s">
        <v>23</v>
      </c>
      <c r="C32" s="8">
        <v>114</v>
      </c>
      <c r="D32" s="10">
        <f>осв2014!F17/1000</f>
        <v>400799.8099</v>
      </c>
      <c r="E32" s="9"/>
      <c r="F32" s="3"/>
      <c r="G32" s="244"/>
    </row>
    <row r="33" spans="2:7" ht="32.25" thickBot="1">
      <c r="B33" s="7" t="s">
        <v>24</v>
      </c>
      <c r="C33" s="8">
        <v>115</v>
      </c>
      <c r="D33" s="10"/>
      <c r="E33" s="9"/>
      <c r="F33" s="3"/>
      <c r="G33" s="51"/>
    </row>
    <row r="34" spans="2:7" ht="32.25" thickBot="1">
      <c r="B34" s="7" t="s">
        <v>25</v>
      </c>
      <c r="C34" s="8">
        <v>116</v>
      </c>
      <c r="D34" s="10"/>
      <c r="E34" s="9"/>
      <c r="F34" s="3"/>
      <c r="G34" s="51"/>
    </row>
    <row r="35" spans="2:6" ht="16.5" thickBot="1">
      <c r="B35" s="7" t="s">
        <v>26</v>
      </c>
      <c r="C35" s="8">
        <v>117</v>
      </c>
      <c r="D35" s="10"/>
      <c r="E35" s="10"/>
      <c r="F35" s="3"/>
    </row>
    <row r="36" spans="2:8" ht="16.5" thickBot="1">
      <c r="B36" s="7" t="s">
        <v>27</v>
      </c>
      <c r="C36" s="8">
        <v>118</v>
      </c>
      <c r="D36" s="74">
        <f>(осв2014!F64+осв2014!F87)/1000</f>
        <v>24789621.409080002</v>
      </c>
      <c r="E36" s="74">
        <v>22505247</v>
      </c>
      <c r="F36" s="3"/>
      <c r="H36" s="11"/>
    </row>
    <row r="37" spans="2:6" ht="16.5" thickBot="1">
      <c r="B37" s="7" t="s">
        <v>28</v>
      </c>
      <c r="C37" s="8">
        <v>119</v>
      </c>
      <c r="D37" s="10"/>
      <c r="E37" s="10"/>
      <c r="F37" s="3"/>
    </row>
    <row r="38" spans="2:6" ht="16.5" thickBot="1">
      <c r="B38" s="7" t="s">
        <v>29</v>
      </c>
      <c r="C38" s="8">
        <v>120</v>
      </c>
      <c r="D38" s="10"/>
      <c r="E38" s="10"/>
      <c r="F38" s="3"/>
    </row>
    <row r="39" spans="2:6" ht="16.5" thickBot="1">
      <c r="B39" s="7" t="s">
        <v>30</v>
      </c>
      <c r="C39" s="8">
        <v>121</v>
      </c>
      <c r="D39" s="16">
        <f>осв2014!F75/1000</f>
        <v>141019.15456</v>
      </c>
      <c r="E39" s="16">
        <v>109033</v>
      </c>
      <c r="F39" s="3"/>
    </row>
    <row r="40" spans="2:6" ht="16.5" thickBot="1">
      <c r="B40" s="7" t="s">
        <v>31</v>
      </c>
      <c r="C40" s="8">
        <v>122</v>
      </c>
      <c r="D40" s="10"/>
      <c r="E40" s="9"/>
      <c r="F40" s="3"/>
    </row>
    <row r="41" spans="2:6" ht="16.5" thickBot="1">
      <c r="B41" s="7" t="s">
        <v>32</v>
      </c>
      <c r="C41" s="8">
        <v>123</v>
      </c>
      <c r="D41" s="10">
        <f>осв2014!F86/1000</f>
        <v>15960</v>
      </c>
      <c r="E41" s="9"/>
      <c r="F41" s="3"/>
    </row>
    <row r="42" spans="2:8" ht="32.25" thickBot="1">
      <c r="B42" s="7" t="s">
        <v>33</v>
      </c>
      <c r="C42" s="8">
        <v>200</v>
      </c>
      <c r="D42" s="52">
        <f>SUM(D28:D41)</f>
        <v>25347400.373540003</v>
      </c>
      <c r="E42" s="15">
        <f>SUM(E33:E41)</f>
        <v>22614280</v>
      </c>
      <c r="F42" s="3"/>
      <c r="G42" s="13"/>
      <c r="H42" s="11"/>
    </row>
    <row r="43" spans="2:7" ht="32.25" thickBot="1">
      <c r="B43" s="7" t="s">
        <v>34</v>
      </c>
      <c r="C43" s="8"/>
      <c r="D43" s="52">
        <f>D25+D42</f>
        <v>27194192.188770004</v>
      </c>
      <c r="E43" s="15">
        <f>E25+E42</f>
        <v>25371343</v>
      </c>
      <c r="F43" s="3"/>
      <c r="G43" s="11"/>
    </row>
    <row r="44" spans="2:6" ht="48" thickBot="1">
      <c r="B44" s="7" t="s">
        <v>35</v>
      </c>
      <c r="C44" s="8" t="s">
        <v>6</v>
      </c>
      <c r="D44" s="10" t="s">
        <v>7</v>
      </c>
      <c r="E44" s="9" t="s">
        <v>8</v>
      </c>
      <c r="F44" s="3"/>
    </row>
    <row r="45" spans="2:6" ht="16.5" thickBot="1">
      <c r="B45" s="7" t="s">
        <v>36</v>
      </c>
      <c r="C45" s="8"/>
      <c r="D45" s="10"/>
      <c r="E45" s="9"/>
      <c r="F45" s="3"/>
    </row>
    <row r="46" spans="2:6" ht="16.5" thickBot="1">
      <c r="B46" s="7" t="s">
        <v>37</v>
      </c>
      <c r="C46" s="8">
        <v>210</v>
      </c>
      <c r="D46" s="10"/>
      <c r="E46" s="9"/>
      <c r="F46" s="3"/>
    </row>
    <row r="47" spans="2:6" ht="16.5" thickBot="1">
      <c r="B47" s="7" t="s">
        <v>12</v>
      </c>
      <c r="C47" s="8">
        <v>211</v>
      </c>
      <c r="D47" s="10"/>
      <c r="E47" s="9"/>
      <c r="F47" s="3"/>
    </row>
    <row r="48" spans="2:7" ht="32.25" thickBot="1">
      <c r="B48" s="7" t="s">
        <v>38</v>
      </c>
      <c r="C48" s="8">
        <v>212</v>
      </c>
      <c r="D48" s="10">
        <f>(осв2014!G93+осв2014!G114)/1000</f>
        <v>216403.63369</v>
      </c>
      <c r="E48" s="9">
        <v>1063514</v>
      </c>
      <c r="F48" s="3"/>
      <c r="G48" s="11"/>
    </row>
    <row r="49" spans="2:10" ht="32.25" thickBot="1">
      <c r="B49" s="7" t="s">
        <v>39</v>
      </c>
      <c r="C49" s="8">
        <v>213</v>
      </c>
      <c r="D49" s="10">
        <f>(осв2014!G90+осв2014!G109+осв2014!G116+осв2014!G127+292851)/1000</f>
        <v>2630034.70134</v>
      </c>
      <c r="E49" s="9">
        <v>2878485</v>
      </c>
      <c r="F49" s="3"/>
      <c r="J49" s="11"/>
    </row>
    <row r="50" spans="2:6" ht="16.5" thickBot="1">
      <c r="B50" s="7" t="s">
        <v>40</v>
      </c>
      <c r="C50" s="8">
        <v>214</v>
      </c>
      <c r="D50" s="10">
        <f>(осв2014!G125-2848000)/1000</f>
        <v>140046.504</v>
      </c>
      <c r="E50" s="9">
        <v>111410</v>
      </c>
      <c r="F50" s="3"/>
    </row>
    <row r="51" spans="2:8" ht="32.25" thickBot="1">
      <c r="B51" s="7" t="s">
        <v>41</v>
      </c>
      <c r="C51" s="8">
        <v>215</v>
      </c>
      <c r="D51" s="10"/>
      <c r="E51" s="10"/>
      <c r="F51" s="3"/>
      <c r="H51" s="11"/>
    </row>
    <row r="52" spans="2:6" ht="16.5" thickBot="1">
      <c r="B52" s="7" t="s">
        <v>42</v>
      </c>
      <c r="C52" s="8">
        <v>216</v>
      </c>
      <c r="D52" s="10">
        <f>осв2014!G113/1000</f>
        <v>64147.083009999995</v>
      </c>
      <c r="E52" s="9">
        <v>38815</v>
      </c>
      <c r="F52" s="3"/>
    </row>
    <row r="53" spans="2:8" ht="16.5" thickBot="1">
      <c r="B53" s="7" t="s">
        <v>43</v>
      </c>
      <c r="C53" s="8">
        <v>217</v>
      </c>
      <c r="D53" s="10">
        <f>(осв2014!G96+осв2014!G105+2848000)/1000</f>
        <v>57817.86748</v>
      </c>
      <c r="E53" s="12">
        <v>28412</v>
      </c>
      <c r="F53" s="3"/>
      <c r="H53" s="51"/>
    </row>
    <row r="54" spans="2:6" ht="32.25" thickBot="1">
      <c r="B54" s="7" t="s">
        <v>44</v>
      </c>
      <c r="C54" s="8">
        <v>300</v>
      </c>
      <c r="D54" s="72">
        <f>SUM(D48:D53)</f>
        <v>3108449.7895200006</v>
      </c>
      <c r="E54" s="15">
        <f>SUM(E48:E53)</f>
        <v>4120636</v>
      </c>
      <c r="F54" s="3"/>
    </row>
    <row r="55" spans="2:6" ht="32.25" thickBot="1">
      <c r="B55" s="7" t="s">
        <v>45</v>
      </c>
      <c r="C55" s="8">
        <v>301</v>
      </c>
      <c r="D55" s="10"/>
      <c r="E55" s="9"/>
      <c r="F55" s="3"/>
    </row>
    <row r="56" spans="2:6" ht="16.5" thickBot="1">
      <c r="B56" s="7" t="s">
        <v>46</v>
      </c>
      <c r="C56" s="8"/>
      <c r="D56" s="10"/>
      <c r="E56" s="9"/>
      <c r="F56" s="3"/>
    </row>
    <row r="57" spans="2:6" ht="16.5" thickBot="1">
      <c r="B57" s="7" t="s">
        <v>37</v>
      </c>
      <c r="C57" s="8">
        <v>310</v>
      </c>
      <c r="D57" s="10"/>
      <c r="E57" s="9"/>
      <c r="F57" s="3"/>
    </row>
    <row r="58" spans="2:6" ht="16.5" thickBot="1">
      <c r="B58" s="7" t="s">
        <v>12</v>
      </c>
      <c r="C58" s="8">
        <v>311</v>
      </c>
      <c r="D58" s="100"/>
      <c r="E58" s="9"/>
      <c r="F58" s="3"/>
    </row>
    <row r="59" spans="2:6" ht="32.25" thickBot="1">
      <c r="B59" s="7" t="s">
        <v>47</v>
      </c>
      <c r="C59" s="99">
        <v>312</v>
      </c>
      <c r="D59" s="102">
        <f>(осв2014!G132-осв2014!F63)/1000</f>
        <v>4584871.647580001</v>
      </c>
      <c r="E59" s="102">
        <v>2166323</v>
      </c>
      <c r="F59" s="3"/>
    </row>
    <row r="60" spans="2:6" ht="32.25" thickBot="1">
      <c r="B60" s="7" t="s">
        <v>48</v>
      </c>
      <c r="C60" s="8">
        <v>313</v>
      </c>
      <c r="D60" s="16"/>
      <c r="E60" s="9"/>
      <c r="F60" s="3"/>
    </row>
    <row r="61" spans="2:6" ht="16.5" thickBot="1">
      <c r="B61" s="7" t="s">
        <v>49</v>
      </c>
      <c r="C61" s="8">
        <v>314</v>
      </c>
      <c r="D61" s="16">
        <f>осв2014!G139/1000</f>
        <v>60548.775</v>
      </c>
      <c r="E61" s="14">
        <v>57306</v>
      </c>
      <c r="F61" s="3"/>
    </row>
    <row r="62" spans="2:6" ht="16.5" thickBot="1">
      <c r="B62" s="7" t="s">
        <v>50</v>
      </c>
      <c r="C62" s="8">
        <v>315</v>
      </c>
      <c r="D62" s="16">
        <f>осв2014!G141/1000</f>
        <v>2837544.4</v>
      </c>
      <c r="E62" s="16">
        <v>2865933</v>
      </c>
      <c r="F62" s="55"/>
    </row>
    <row r="63" spans="2:6" ht="16.5" thickBot="1">
      <c r="B63" s="7" t="s">
        <v>51</v>
      </c>
      <c r="C63" s="8">
        <v>316</v>
      </c>
      <c r="D63" s="16">
        <f>осв2014!G135/1000</f>
        <v>1641030.28929</v>
      </c>
      <c r="E63" s="14">
        <v>1708160</v>
      </c>
      <c r="F63" s="3"/>
    </row>
    <row r="64" spans="2:6" ht="32.25" thickBot="1">
      <c r="B64" s="7" t="s">
        <v>52</v>
      </c>
      <c r="C64" s="8">
        <v>400</v>
      </c>
      <c r="D64" s="15">
        <f>SUM(D57:D63)</f>
        <v>9123995.11187</v>
      </c>
      <c r="E64" s="15">
        <f>SUM(E57:E63)</f>
        <v>6797722</v>
      </c>
      <c r="F64" s="3"/>
    </row>
    <row r="65" spans="2:6" ht="16.5" thickBot="1">
      <c r="B65" s="7" t="s">
        <v>53</v>
      </c>
      <c r="C65" s="8"/>
      <c r="D65" s="73"/>
      <c r="E65" s="14"/>
      <c r="F65" s="3"/>
    </row>
    <row r="66" spans="2:7" ht="16.5" thickBot="1">
      <c r="B66" s="7" t="s">
        <v>54</v>
      </c>
      <c r="C66" s="8">
        <v>410</v>
      </c>
      <c r="D66" s="16">
        <f>(осв2014!G142+осв2014!G147)/1000</f>
        <v>1712761.7765</v>
      </c>
      <c r="E66" s="16">
        <v>1712762</v>
      </c>
      <c r="F66" s="3"/>
      <c r="G66" s="11">
        <f>D66-E66</f>
        <v>-0.22350000008009374</v>
      </c>
    </row>
    <row r="67" spans="2:6" ht="16.5" thickBot="1">
      <c r="B67" s="7" t="s">
        <v>55</v>
      </c>
      <c r="C67" s="8">
        <v>411</v>
      </c>
      <c r="D67" s="73"/>
      <c r="E67" s="14"/>
      <c r="F67" s="3"/>
    </row>
    <row r="68" spans="2:6" ht="32.25" thickBot="1">
      <c r="B68" s="7" t="s">
        <v>56</v>
      </c>
      <c r="C68" s="8">
        <v>412</v>
      </c>
      <c r="D68" s="16">
        <f>осв2014!G146/1000</f>
        <v>-38923.5764</v>
      </c>
      <c r="E68" s="14">
        <v>-38924</v>
      </c>
      <c r="F68" s="3"/>
    </row>
    <row r="69" spans="2:6" ht="16.5" thickBot="1">
      <c r="B69" s="7" t="s">
        <v>57</v>
      </c>
      <c r="C69" s="8">
        <v>413</v>
      </c>
      <c r="D69" s="16">
        <f>осв2014!G150/1000</f>
        <v>7053516.58028</v>
      </c>
      <c r="E69" s="16">
        <v>7754455</v>
      </c>
      <c r="F69" s="55"/>
    </row>
    <row r="70" spans="2:8" ht="32.25" thickBot="1">
      <c r="B70" s="7" t="s">
        <v>58</v>
      </c>
      <c r="C70" s="8">
        <v>414</v>
      </c>
      <c r="D70" s="16">
        <f>осв2014!G151/1000</f>
        <v>6234392.507</v>
      </c>
      <c r="E70" s="14">
        <v>5024692</v>
      </c>
      <c r="F70" s="13"/>
      <c r="H70" s="11"/>
    </row>
    <row r="71" spans="2:6" ht="48" thickBot="1">
      <c r="B71" s="7" t="s">
        <v>59</v>
      </c>
      <c r="C71" s="8">
        <v>420</v>
      </c>
      <c r="D71" s="73"/>
      <c r="E71" s="9"/>
      <c r="F71" s="3"/>
    </row>
    <row r="72" spans="2:6" ht="16.5" thickBot="1">
      <c r="B72" s="7" t="s">
        <v>60</v>
      </c>
      <c r="C72" s="8">
        <v>421</v>
      </c>
      <c r="D72" s="77"/>
      <c r="E72" s="10"/>
      <c r="F72" s="3"/>
    </row>
    <row r="73" spans="2:6" ht="16.5" thickBot="1">
      <c r="B73" s="7" t="s">
        <v>61</v>
      </c>
      <c r="C73" s="8">
        <v>500</v>
      </c>
      <c r="D73" s="15">
        <f>SUM(D66:D72)</f>
        <v>14961747.287379999</v>
      </c>
      <c r="E73" s="15">
        <f>SUM(E66:E72)</f>
        <v>14452985</v>
      </c>
      <c r="F73" s="3"/>
    </row>
    <row r="74" spans="2:8" ht="32.25" thickBot="1">
      <c r="B74" s="7" t="s">
        <v>62</v>
      </c>
      <c r="C74" s="8"/>
      <c r="D74" s="15">
        <f>D54+D64+D73</f>
        <v>27194192.18877</v>
      </c>
      <c r="E74" s="15">
        <f>E54+E64+E73</f>
        <v>25371343</v>
      </c>
      <c r="F74" s="3"/>
      <c r="H74" s="11"/>
    </row>
    <row r="75" spans="2:6" ht="15">
      <c r="B75" s="3"/>
      <c r="C75" s="3"/>
      <c r="D75" s="13"/>
      <c r="E75" s="3"/>
      <c r="F75" s="3"/>
    </row>
    <row r="76" spans="2:6" ht="15">
      <c r="B76" s="3"/>
      <c r="C76" s="3"/>
      <c r="D76" s="13"/>
      <c r="E76" s="13"/>
      <c r="F76" s="3"/>
    </row>
    <row r="77" spans="2:6" ht="15">
      <c r="B77" s="3"/>
      <c r="C77" s="3"/>
      <c r="D77" s="13">
        <f>D43-D74</f>
        <v>0</v>
      </c>
      <c r="E77" s="3"/>
      <c r="F77" s="3"/>
    </row>
    <row r="78" spans="2:6" ht="15">
      <c r="B78" s="3" t="s">
        <v>63</v>
      </c>
      <c r="C78" s="3"/>
      <c r="D78" s="13"/>
      <c r="E78" s="3"/>
      <c r="F78" s="3"/>
    </row>
    <row r="79" spans="2:6" ht="15">
      <c r="B79" s="3"/>
      <c r="C79" s="3"/>
      <c r="D79" s="13"/>
      <c r="E79" s="3"/>
      <c r="F79" s="3"/>
    </row>
    <row r="80" spans="2:6" ht="15">
      <c r="B80" s="3" t="s">
        <v>64</v>
      </c>
      <c r="C80" s="3"/>
      <c r="D80" s="3"/>
      <c r="E80" s="3"/>
      <c r="F80" s="3"/>
    </row>
  </sheetData>
  <sheetProtection/>
  <mergeCells count="1">
    <mergeCell ref="B7:C7"/>
  </mergeCells>
  <printOptions/>
  <pageMargins left="0.75" right="0.75" top="1" bottom="0.42" header="0.5" footer="0.5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F13" sqref="F13:F77"/>
    </sheetView>
  </sheetViews>
  <sheetFormatPr defaultColWidth="9.00390625" defaultRowHeight="12.75"/>
  <cols>
    <col min="1" max="1" width="2.00390625" style="0" customWidth="1"/>
    <col min="2" max="2" width="43.25390625" style="0" customWidth="1"/>
    <col min="3" max="3" width="11.125" style="0" customWidth="1"/>
    <col min="4" max="4" width="19.875" style="0" customWidth="1"/>
    <col min="5" max="5" width="20.625" style="0" customWidth="1"/>
    <col min="6" max="9" width="25.875" style="0" customWidth="1"/>
  </cols>
  <sheetData>
    <row r="1" spans="1:5" ht="14.25">
      <c r="A1" s="53"/>
      <c r="B1" s="53"/>
      <c r="C1" s="63"/>
      <c r="D1" s="63" t="s">
        <v>108</v>
      </c>
      <c r="E1" s="53"/>
    </row>
    <row r="2" spans="1:5" ht="14.25">
      <c r="A2" s="53"/>
      <c r="B2" s="53"/>
      <c r="C2" s="63" t="s">
        <v>1</v>
      </c>
      <c r="D2" s="63"/>
      <c r="E2" s="53"/>
    </row>
    <row r="3" spans="1:5" ht="14.25">
      <c r="A3" s="53"/>
      <c r="B3" s="53"/>
      <c r="C3" s="63" t="s">
        <v>109</v>
      </c>
      <c r="D3" s="63"/>
      <c r="E3" s="53"/>
    </row>
    <row r="4" spans="1:5" ht="14.25">
      <c r="A4" s="53"/>
      <c r="B4" s="53"/>
      <c r="C4" s="53"/>
      <c r="D4" s="53"/>
      <c r="E4" s="53"/>
    </row>
    <row r="5" spans="1:5" ht="14.25">
      <c r="A5" s="53"/>
      <c r="B5" s="53"/>
      <c r="C5" s="86" t="s">
        <v>110</v>
      </c>
      <c r="D5" s="53"/>
      <c r="E5" s="63"/>
    </row>
    <row r="6" spans="1:5" ht="14.25">
      <c r="A6" s="53"/>
      <c r="B6" s="53"/>
      <c r="C6" s="86"/>
      <c r="D6" s="53"/>
      <c r="E6" s="63"/>
    </row>
    <row r="7" spans="1:5" ht="12.75" customHeight="1">
      <c r="A7" s="53"/>
      <c r="B7" s="365" t="s">
        <v>592</v>
      </c>
      <c r="C7" s="366"/>
      <c r="D7" s="53"/>
      <c r="E7" s="63"/>
    </row>
    <row r="8" spans="1:5" ht="15">
      <c r="A8" s="53"/>
      <c r="B8" s="53"/>
      <c r="C8" s="87"/>
      <c r="D8" s="53"/>
      <c r="E8" s="63"/>
    </row>
    <row r="9" spans="1:5" ht="14.25">
      <c r="A9" s="53"/>
      <c r="B9" s="63"/>
      <c r="C9" s="63"/>
      <c r="D9" s="63"/>
      <c r="E9" s="45" t="s">
        <v>111</v>
      </c>
    </row>
    <row r="10" spans="1:8" ht="15" thickBot="1">
      <c r="A10" s="53"/>
      <c r="B10" s="63"/>
      <c r="C10" s="63"/>
      <c r="D10" s="63"/>
      <c r="E10" s="63"/>
      <c r="H10" s="51">
        <v>1820715.064</v>
      </c>
    </row>
    <row r="11" spans="1:5" ht="33.75" customHeight="1" thickBot="1">
      <c r="A11" s="53"/>
      <c r="B11" s="46" t="s">
        <v>112</v>
      </c>
      <c r="C11" s="47" t="s">
        <v>6</v>
      </c>
      <c r="D11" s="47" t="s">
        <v>113</v>
      </c>
      <c r="E11" s="47" t="s">
        <v>114</v>
      </c>
    </row>
    <row r="12" spans="1:6" ht="13.5" customHeight="1" thickBot="1">
      <c r="A12" s="53"/>
      <c r="B12" s="367" t="s">
        <v>115</v>
      </c>
      <c r="C12" s="368"/>
      <c r="D12" s="368"/>
      <c r="E12" s="368"/>
      <c r="F12" s="261"/>
    </row>
    <row r="13" spans="1:8" ht="35.25" customHeight="1" thickBot="1">
      <c r="A13" s="53"/>
      <c r="B13" s="48" t="s">
        <v>116</v>
      </c>
      <c r="C13" s="49">
        <v>10</v>
      </c>
      <c r="D13" s="64">
        <f>SUM(D14:D20)</f>
        <v>6020268.835</v>
      </c>
      <c r="E13" s="325">
        <f>SUM(E14:E20)</f>
        <v>9562296</v>
      </c>
      <c r="F13" s="327">
        <f>SUM(F14:F20)</f>
        <v>6782129.295</v>
      </c>
      <c r="G13" s="11"/>
      <c r="H13">
        <f>F13</f>
        <v>6782129.295</v>
      </c>
    </row>
    <row r="14" spans="1:6" ht="22.5" customHeight="1" thickBot="1">
      <c r="A14" s="53"/>
      <c r="B14" s="48" t="s">
        <v>117</v>
      </c>
      <c r="C14" s="49"/>
      <c r="D14" s="78"/>
      <c r="E14" s="322"/>
      <c r="F14" s="261"/>
    </row>
    <row r="15" spans="1:8" ht="15.75" customHeight="1" thickBot="1">
      <c r="A15" s="53"/>
      <c r="B15" s="66" t="s">
        <v>118</v>
      </c>
      <c r="C15" s="67">
        <v>11</v>
      </c>
      <c r="D15" s="50">
        <f>4868604.407+788748.62</f>
        <v>5657353.027</v>
      </c>
      <c r="E15" s="322">
        <v>9077032</v>
      </c>
      <c r="F15" s="324">
        <f>D15+D17-F17+754358.262</f>
        <v>6567000.311</v>
      </c>
      <c r="H15">
        <f>F60</f>
        <v>2345668.146</v>
      </c>
    </row>
    <row r="16" spans="1:6" ht="18" customHeight="1" thickBot="1">
      <c r="A16" s="53"/>
      <c r="B16" s="66" t="s">
        <v>119</v>
      </c>
      <c r="C16" s="67">
        <v>12</v>
      </c>
      <c r="D16" s="50"/>
      <c r="E16" s="322"/>
      <c r="F16" s="261"/>
    </row>
    <row r="17" spans="1:7" ht="29.25" customHeight="1" thickBot="1">
      <c r="A17" s="53"/>
      <c r="B17" s="66" t="s">
        <v>120</v>
      </c>
      <c r="C17" s="67">
        <v>13</v>
      </c>
      <c r="D17" s="50">
        <f>211407.459+20863.831</f>
        <v>232271.29</v>
      </c>
      <c r="E17" s="322">
        <v>179295</v>
      </c>
      <c r="F17" s="261">
        <v>76982.268</v>
      </c>
      <c r="G17" s="54"/>
    </row>
    <row r="18" spans="1:6" ht="18" customHeight="1" thickBot="1">
      <c r="A18" s="53"/>
      <c r="B18" s="66" t="s">
        <v>121</v>
      </c>
      <c r="C18" s="67">
        <v>14</v>
      </c>
      <c r="D18" s="50"/>
      <c r="E18" s="322"/>
      <c r="F18" s="261"/>
    </row>
    <row r="19" spans="1:6" ht="15" customHeight="1" thickBot="1">
      <c r="A19" s="53"/>
      <c r="B19" s="66" t="s">
        <v>122</v>
      </c>
      <c r="C19" s="67">
        <v>15</v>
      </c>
      <c r="D19" s="50"/>
      <c r="E19" s="322"/>
      <c r="F19" s="261"/>
    </row>
    <row r="20" spans="1:6" ht="41.25" customHeight="1" thickBot="1">
      <c r="A20" s="53"/>
      <c r="B20" s="66" t="s">
        <v>123</v>
      </c>
      <c r="C20" s="67">
        <v>16</v>
      </c>
      <c r="D20" s="50">
        <f>86122.825+16741.693+27780</f>
        <v>130644.518</v>
      </c>
      <c r="E20" s="322">
        <v>305969</v>
      </c>
      <c r="F20" s="324">
        <f>D20+7502.198</f>
        <v>138146.716</v>
      </c>
    </row>
    <row r="21" spans="1:8" ht="36" customHeight="1" thickBot="1">
      <c r="A21" s="53"/>
      <c r="B21" s="66" t="s">
        <v>124</v>
      </c>
      <c r="C21" s="67">
        <v>20</v>
      </c>
      <c r="D21" s="68">
        <f>SUM(D23:D29)</f>
        <v>4248490.07088</v>
      </c>
      <c r="E21" s="326">
        <f>SUM(E23:E29)</f>
        <v>7364169</v>
      </c>
      <c r="F21" s="328">
        <f>SUM(F23:F29)</f>
        <v>4899360.49788</v>
      </c>
      <c r="H21" s="11">
        <f>D21+D45+D66</f>
        <v>7497170.18688</v>
      </c>
    </row>
    <row r="22" spans="1:6" ht="15" thickBot="1">
      <c r="A22" s="53"/>
      <c r="B22" s="66" t="s">
        <v>117</v>
      </c>
      <c r="C22" s="67"/>
      <c r="D22" s="50"/>
      <c r="E22" s="322"/>
      <c r="F22" s="261"/>
    </row>
    <row r="23" spans="1:6" ht="21" customHeight="1" thickBot="1">
      <c r="A23" s="53"/>
      <c r="B23" s="66" t="s">
        <v>125</v>
      </c>
      <c r="C23" s="67">
        <v>21</v>
      </c>
      <c r="D23" s="50">
        <f>2415597.583+150132.536+1680</f>
        <v>2567410.119</v>
      </c>
      <c r="E23" s="322">
        <v>4323119</v>
      </c>
      <c r="F23" s="324">
        <f>D23+D24+199756.119+157945.321</f>
        <v>3154002.553</v>
      </c>
    </row>
    <row r="24" spans="1:6" ht="33" customHeight="1" thickBot="1">
      <c r="A24" s="53"/>
      <c r="B24" s="66" t="s">
        <v>126</v>
      </c>
      <c r="C24" s="67">
        <v>22</v>
      </c>
      <c r="D24" s="50">
        <f>3698.06+225192.934</f>
        <v>228890.994</v>
      </c>
      <c r="E24" s="322">
        <v>300215</v>
      </c>
      <c r="F24" s="261"/>
    </row>
    <row r="25" spans="1:6" ht="15" thickBot="1">
      <c r="A25" s="53"/>
      <c r="B25" s="66" t="s">
        <v>127</v>
      </c>
      <c r="C25" s="67">
        <v>23</v>
      </c>
      <c r="D25" s="50">
        <f>574430.392+105275.078</f>
        <v>679705.47</v>
      </c>
      <c r="E25" s="322">
        <v>1209299</v>
      </c>
      <c r="F25" s="324">
        <f>D25+141193.905+2000</f>
        <v>822899.375</v>
      </c>
    </row>
    <row r="26" spans="1:8" ht="16.5" customHeight="1" thickBot="1">
      <c r="A26" s="53"/>
      <c r="B26" s="66" t="s">
        <v>128</v>
      </c>
      <c r="C26" s="67">
        <v>24</v>
      </c>
      <c r="D26" s="50">
        <v>130393.6</v>
      </c>
      <c r="E26" s="322">
        <v>256803</v>
      </c>
      <c r="F26" s="331">
        <f>D26</f>
        <v>130393.6</v>
      </c>
      <c r="H26" s="11">
        <f>H10+H13+H15-H21</f>
        <v>3451342.318119999</v>
      </c>
    </row>
    <row r="27" spans="1:8" ht="24" customHeight="1" thickBot="1">
      <c r="A27" s="53"/>
      <c r="B27" s="66" t="s">
        <v>129</v>
      </c>
      <c r="C27" s="67">
        <v>25</v>
      </c>
      <c r="D27" s="50"/>
      <c r="E27" s="322"/>
      <c r="F27" s="261"/>
      <c r="H27">
        <v>2639432</v>
      </c>
    </row>
    <row r="28" spans="1:8" ht="28.5" customHeight="1" thickBot="1">
      <c r="A28" s="53"/>
      <c r="B28" s="66" t="s">
        <v>130</v>
      </c>
      <c r="C28" s="67">
        <v>26</v>
      </c>
      <c r="D28" s="50">
        <f>314682.45+11201.14+24894.949</f>
        <v>350778.53900000005</v>
      </c>
      <c r="E28" s="322">
        <v>1140659</v>
      </c>
      <c r="F28" s="331">
        <f>D28+24894.949+84502.023</f>
        <v>460175.51100000006</v>
      </c>
      <c r="H28" s="11">
        <f>H26+H27</f>
        <v>6090774.318119999</v>
      </c>
    </row>
    <row r="29" spans="1:6" ht="15" thickBot="1">
      <c r="A29" s="53"/>
      <c r="B29" s="66" t="s">
        <v>131</v>
      </c>
      <c r="C29" s="67">
        <v>27</v>
      </c>
      <c r="D29" s="50">
        <f>257638.639+33672.70988</f>
        <v>291311.34888</v>
      </c>
      <c r="E29" s="322">
        <v>134074</v>
      </c>
      <c r="F29" s="324">
        <f>D29+40578.11</f>
        <v>331889.45888</v>
      </c>
    </row>
    <row r="30" spans="1:7" ht="52.5" customHeight="1" thickBot="1">
      <c r="A30" s="53"/>
      <c r="B30" s="66" t="s">
        <v>132</v>
      </c>
      <c r="C30" s="67">
        <v>30</v>
      </c>
      <c r="D30" s="68">
        <f>D13-D21</f>
        <v>1771778.7641200004</v>
      </c>
      <c r="E30" s="326">
        <f>E13-E21</f>
        <v>2198127</v>
      </c>
      <c r="F30" s="328">
        <f>F13-F21</f>
        <v>1882768.7971200002</v>
      </c>
      <c r="G30" s="11"/>
    </row>
    <row r="31" spans="1:8" ht="13.5" customHeight="1" thickBot="1">
      <c r="A31" s="53"/>
      <c r="B31" s="369" t="s">
        <v>133</v>
      </c>
      <c r="C31" s="370"/>
      <c r="D31" s="370"/>
      <c r="E31" s="370"/>
      <c r="F31" s="261"/>
      <c r="H31" s="11"/>
    </row>
    <row r="32" spans="1:6" ht="43.5" customHeight="1" thickBot="1">
      <c r="A32" s="53"/>
      <c r="B32" s="66" t="s">
        <v>134</v>
      </c>
      <c r="C32" s="67">
        <v>40</v>
      </c>
      <c r="D32" s="50">
        <f>SUM(D33:D44)</f>
        <v>0</v>
      </c>
      <c r="E32" s="322">
        <f>SUM(E33:E44)</f>
        <v>0</v>
      </c>
      <c r="F32" s="261"/>
    </row>
    <row r="33" spans="1:6" ht="15" thickBot="1">
      <c r="A33" s="53"/>
      <c r="B33" s="66" t="s">
        <v>117</v>
      </c>
      <c r="C33" s="67"/>
      <c r="D33" s="50"/>
      <c r="E33" s="322"/>
      <c r="F33" s="261"/>
    </row>
    <row r="34" spans="1:6" ht="18" customHeight="1" thickBot="1">
      <c r="A34" s="53"/>
      <c r="B34" s="66" t="s">
        <v>135</v>
      </c>
      <c r="C34" s="67">
        <v>41</v>
      </c>
      <c r="D34" s="50"/>
      <c r="E34" s="322"/>
      <c r="F34" s="261"/>
    </row>
    <row r="35" spans="1:6" ht="25.5" customHeight="1" thickBot="1">
      <c r="A35" s="53"/>
      <c r="B35" s="66" t="s">
        <v>136</v>
      </c>
      <c r="C35" s="67">
        <v>42</v>
      </c>
      <c r="D35" s="50"/>
      <c r="E35" s="322"/>
      <c r="F35" s="261"/>
    </row>
    <row r="36" spans="1:6" ht="17.25" customHeight="1" thickBot="1">
      <c r="A36" s="53"/>
      <c r="B36" s="66" t="s">
        <v>137</v>
      </c>
      <c r="C36" s="67">
        <v>43</v>
      </c>
      <c r="D36" s="50"/>
      <c r="E36" s="322"/>
      <c r="F36" s="261"/>
    </row>
    <row r="37" spans="1:6" ht="41.25" customHeight="1" thickBot="1">
      <c r="A37" s="53"/>
      <c r="B37" s="66" t="s">
        <v>138</v>
      </c>
      <c r="C37" s="67">
        <v>44</v>
      </c>
      <c r="D37" s="50"/>
      <c r="E37" s="322"/>
      <c r="F37" s="261"/>
    </row>
    <row r="38" spans="1:6" ht="34.5" customHeight="1" thickBot="1">
      <c r="A38" s="53"/>
      <c r="B38" s="66" t="s">
        <v>139</v>
      </c>
      <c r="C38" s="67">
        <v>45</v>
      </c>
      <c r="D38" s="50"/>
      <c r="E38" s="322"/>
      <c r="F38" s="261"/>
    </row>
    <row r="39" spans="1:6" ht="36.75" customHeight="1" thickBot="1">
      <c r="A39" s="53"/>
      <c r="B39" s="66" t="s">
        <v>140</v>
      </c>
      <c r="C39" s="67">
        <v>46</v>
      </c>
      <c r="D39" s="50"/>
      <c r="E39" s="322"/>
      <c r="F39" s="261"/>
    </row>
    <row r="40" spans="1:6" ht="31.5" customHeight="1" thickBot="1">
      <c r="A40" s="53"/>
      <c r="B40" s="66" t="s">
        <v>141</v>
      </c>
      <c r="C40" s="67">
        <v>47</v>
      </c>
      <c r="D40" s="50"/>
      <c r="E40" s="322"/>
      <c r="F40" s="261"/>
    </row>
    <row r="41" spans="1:6" ht="33.75" customHeight="1" thickBot="1">
      <c r="A41" s="53"/>
      <c r="B41" s="66" t="s">
        <v>142</v>
      </c>
      <c r="C41" s="67">
        <v>48</v>
      </c>
      <c r="D41" s="50"/>
      <c r="E41" s="322"/>
      <c r="F41" s="261"/>
    </row>
    <row r="42" spans="1:6" ht="22.5" customHeight="1" thickBot="1">
      <c r="A42" s="53"/>
      <c r="B42" s="66" t="s">
        <v>143</v>
      </c>
      <c r="C42" s="67">
        <v>49</v>
      </c>
      <c r="D42" s="50"/>
      <c r="E42" s="322"/>
      <c r="F42" s="261"/>
    </row>
    <row r="43" spans="1:6" ht="18" customHeight="1" thickBot="1">
      <c r="A43" s="53"/>
      <c r="B43" s="66" t="s">
        <v>122</v>
      </c>
      <c r="C43" s="67">
        <v>50</v>
      </c>
      <c r="D43" s="50"/>
      <c r="E43" s="322"/>
      <c r="F43" s="261"/>
    </row>
    <row r="44" spans="1:6" ht="21.75" customHeight="1" thickBot="1">
      <c r="A44" s="53"/>
      <c r="B44" s="66" t="s">
        <v>123</v>
      </c>
      <c r="C44" s="67">
        <v>51</v>
      </c>
      <c r="D44" s="50"/>
      <c r="E44" s="322"/>
      <c r="F44" s="261"/>
    </row>
    <row r="45" spans="1:7" ht="42.75" customHeight="1" thickBot="1">
      <c r="A45" s="53"/>
      <c r="B45" s="66" t="s">
        <v>144</v>
      </c>
      <c r="C45" s="67">
        <v>60</v>
      </c>
      <c r="D45" s="68">
        <f>SUM(D47:D49)</f>
        <v>1911827.5380000002</v>
      </c>
      <c r="E45" s="326">
        <f>SUM(E47:E49)</f>
        <v>2062631</v>
      </c>
      <c r="F45" s="328">
        <f>SUM(F47:F49)</f>
        <v>1954635.5880000002</v>
      </c>
      <c r="G45" s="11"/>
    </row>
    <row r="46" spans="1:6" ht="15" thickBot="1">
      <c r="A46" s="53"/>
      <c r="B46" s="66" t="s">
        <v>117</v>
      </c>
      <c r="C46" s="67"/>
      <c r="D46" s="50"/>
      <c r="E46" s="322"/>
      <c r="F46" s="261"/>
    </row>
    <row r="47" spans="1:6" ht="29.25" customHeight="1" thickBot="1">
      <c r="A47" s="53"/>
      <c r="B47" s="66" t="s">
        <v>145</v>
      </c>
      <c r="C47" s="67">
        <v>61</v>
      </c>
      <c r="D47" s="103">
        <f>1592846.341+250876.8-1680</f>
        <v>1842043.141</v>
      </c>
      <c r="E47" s="329">
        <v>2037962</v>
      </c>
      <c r="F47" s="276">
        <f>1842043+6688.191</f>
        <v>1848731.191</v>
      </c>
    </row>
    <row r="48" spans="1:6" ht="18" customHeight="1" thickBot="1">
      <c r="A48" s="53"/>
      <c r="B48" s="66" t="s">
        <v>146</v>
      </c>
      <c r="C48" s="67">
        <v>62</v>
      </c>
      <c r="D48" s="103">
        <f>66507.672+2142.857</f>
        <v>68650.52900000001</v>
      </c>
      <c r="E48" s="329">
        <v>22229</v>
      </c>
      <c r="F48" s="276">
        <f>D48</f>
        <v>68650.52900000001</v>
      </c>
    </row>
    <row r="49" spans="1:6" ht="27" customHeight="1" thickBot="1">
      <c r="A49" s="53"/>
      <c r="B49" s="66" t="s">
        <v>147</v>
      </c>
      <c r="C49" s="67">
        <v>63</v>
      </c>
      <c r="D49" s="103">
        <f>1133.868</f>
        <v>1133.868</v>
      </c>
      <c r="E49" s="329">
        <v>2440</v>
      </c>
      <c r="F49" s="276">
        <f>D49+36120</f>
        <v>37253.868</v>
      </c>
    </row>
    <row r="50" spans="1:6" ht="41.25" customHeight="1" thickBot="1">
      <c r="A50" s="53"/>
      <c r="B50" s="66" t="s">
        <v>148</v>
      </c>
      <c r="C50" s="67">
        <v>64</v>
      </c>
      <c r="D50" s="50"/>
      <c r="E50" s="322"/>
      <c r="F50" s="261"/>
    </row>
    <row r="51" spans="1:6" ht="30.75" customHeight="1" thickBot="1">
      <c r="A51" s="53"/>
      <c r="B51" s="66" t="s">
        <v>149</v>
      </c>
      <c r="C51" s="67">
        <v>65</v>
      </c>
      <c r="D51" s="50"/>
      <c r="E51" s="322"/>
      <c r="F51" s="261"/>
    </row>
    <row r="52" spans="1:6" ht="37.5" customHeight="1" thickBot="1">
      <c r="A52" s="53"/>
      <c r="B52" s="66" t="s">
        <v>150</v>
      </c>
      <c r="C52" s="67">
        <v>66</v>
      </c>
      <c r="D52" s="50"/>
      <c r="E52" s="322"/>
      <c r="F52" s="261"/>
    </row>
    <row r="53" spans="1:6" ht="16.5" customHeight="1" thickBot="1">
      <c r="A53" s="53"/>
      <c r="B53" s="66" t="s">
        <v>151</v>
      </c>
      <c r="C53" s="67">
        <v>67</v>
      </c>
      <c r="D53" s="50"/>
      <c r="E53" s="322"/>
      <c r="F53" s="261"/>
    </row>
    <row r="54" spans="1:6" ht="15" thickBot="1">
      <c r="A54" s="53"/>
      <c r="B54" s="66" t="s">
        <v>152</v>
      </c>
      <c r="C54" s="67">
        <v>68</v>
      </c>
      <c r="D54" s="50"/>
      <c r="E54" s="322"/>
      <c r="F54" s="261"/>
    </row>
    <row r="55" spans="1:6" ht="32.25" customHeight="1" thickBot="1">
      <c r="A55" s="53"/>
      <c r="B55" s="66" t="s">
        <v>142</v>
      </c>
      <c r="C55" s="67">
        <v>69</v>
      </c>
      <c r="D55" s="50"/>
      <c r="E55" s="322"/>
      <c r="F55" s="261"/>
    </row>
    <row r="56" spans="1:6" ht="43.5" customHeight="1" thickBot="1">
      <c r="A56" s="53"/>
      <c r="B56" s="66" t="s">
        <v>153</v>
      </c>
      <c r="C56" s="67">
        <v>70</v>
      </c>
      <c r="D56" s="50"/>
      <c r="E56" s="322"/>
      <c r="F56" s="261"/>
    </row>
    <row r="57" spans="1:6" ht="15" thickBot="1">
      <c r="A57" s="53"/>
      <c r="B57" s="66" t="s">
        <v>131</v>
      </c>
      <c r="C57" s="67">
        <v>71</v>
      </c>
      <c r="D57" s="50"/>
      <c r="E57" s="322"/>
      <c r="F57" s="261"/>
    </row>
    <row r="58" spans="1:6" ht="42" customHeight="1" thickBot="1">
      <c r="A58" s="53"/>
      <c r="B58" s="66" t="s">
        <v>154</v>
      </c>
      <c r="C58" s="67">
        <v>80</v>
      </c>
      <c r="D58" s="50">
        <f>D32-D45</f>
        <v>-1911827.5380000002</v>
      </c>
      <c r="E58" s="329">
        <f>E32-E45</f>
        <v>-2062631</v>
      </c>
      <c r="F58" s="276">
        <f>F32-F45</f>
        <v>-1954635.5880000002</v>
      </c>
    </row>
    <row r="59" spans="1:6" ht="13.5" customHeight="1" thickBot="1">
      <c r="A59" s="53"/>
      <c r="B59" s="369" t="s">
        <v>155</v>
      </c>
      <c r="C59" s="370"/>
      <c r="D59" s="370"/>
      <c r="E59" s="370"/>
      <c r="F59" s="276"/>
    </row>
    <row r="60" spans="1:6" ht="44.25" customHeight="1" thickBot="1">
      <c r="A60" s="53"/>
      <c r="B60" s="66" t="s">
        <v>156</v>
      </c>
      <c r="C60" s="67">
        <v>90</v>
      </c>
      <c r="D60" s="68">
        <f>D65+D64+D63+D62</f>
        <v>1577306.03</v>
      </c>
      <c r="E60" s="326">
        <f>E65+E64+E63+E62</f>
        <v>1601988</v>
      </c>
      <c r="F60" s="328">
        <f>F65+F64+F63+F62</f>
        <v>2345668.146</v>
      </c>
    </row>
    <row r="61" spans="1:6" ht="15" thickBot="1">
      <c r="A61" s="53"/>
      <c r="B61" s="66" t="s">
        <v>117</v>
      </c>
      <c r="C61" s="67"/>
      <c r="D61" s="50"/>
      <c r="E61" s="322"/>
      <c r="F61" s="261"/>
    </row>
    <row r="62" spans="1:6" ht="29.25" customHeight="1" thickBot="1">
      <c r="A62" s="53"/>
      <c r="B62" s="66" t="s">
        <v>157</v>
      </c>
      <c r="C62" s="67">
        <v>91</v>
      </c>
      <c r="D62" s="50"/>
      <c r="E62" s="322"/>
      <c r="F62" s="261"/>
    </row>
    <row r="63" spans="1:6" ht="15" thickBot="1">
      <c r="A63" s="53"/>
      <c r="B63" s="66" t="s">
        <v>158</v>
      </c>
      <c r="C63" s="67">
        <v>92</v>
      </c>
      <c r="D63" s="50">
        <v>1577306.03</v>
      </c>
      <c r="E63" s="322">
        <v>1601764</v>
      </c>
      <c r="F63" s="324">
        <f>D63+766956.337</f>
        <v>2344262.367</v>
      </c>
    </row>
    <row r="64" spans="1:6" ht="25.5" customHeight="1" thickBot="1">
      <c r="A64" s="53"/>
      <c r="B64" s="66" t="s">
        <v>122</v>
      </c>
      <c r="C64" s="67">
        <v>93</v>
      </c>
      <c r="D64" s="50"/>
      <c r="E64" s="322"/>
      <c r="F64" s="261"/>
    </row>
    <row r="65" spans="1:6" ht="17.25" customHeight="1" thickBot="1">
      <c r="A65" s="53"/>
      <c r="B65" s="66" t="s">
        <v>123</v>
      </c>
      <c r="C65" s="67">
        <v>94</v>
      </c>
      <c r="D65" s="50"/>
      <c r="E65" s="330">
        <v>224</v>
      </c>
      <c r="F65" s="261">
        <f>1405.779</f>
        <v>1405.779</v>
      </c>
    </row>
    <row r="66" spans="1:7" ht="28.5" customHeight="1" thickBot="1">
      <c r="A66" s="53"/>
      <c r="B66" s="66" t="s">
        <v>159</v>
      </c>
      <c r="C66" s="67">
        <v>100</v>
      </c>
      <c r="D66" s="68">
        <f>SUM(D68:D72)</f>
        <v>1336852.578</v>
      </c>
      <c r="E66" s="326">
        <f>SUM(E68:E72)</f>
        <v>1239617</v>
      </c>
      <c r="F66" s="328">
        <f>SUM(F68:F72)</f>
        <v>1354679.4619999998</v>
      </c>
      <c r="G66" s="11"/>
    </row>
    <row r="67" spans="1:7" ht="18.75" customHeight="1" thickBot="1">
      <c r="A67" s="53"/>
      <c r="B67" s="66" t="s">
        <v>117</v>
      </c>
      <c r="C67" s="67"/>
      <c r="D67" s="50"/>
      <c r="E67" s="322"/>
      <c r="F67" s="261"/>
      <c r="G67" s="11"/>
    </row>
    <row r="68" spans="1:6" ht="19.5" customHeight="1" thickBot="1">
      <c r="A68" s="53"/>
      <c r="B68" s="66" t="s">
        <v>160</v>
      </c>
      <c r="C68" s="67">
        <v>101</v>
      </c>
      <c r="D68" s="50">
        <v>789920</v>
      </c>
      <c r="E68" s="322">
        <v>790190</v>
      </c>
      <c r="F68" s="324">
        <f>D68</f>
        <v>789920</v>
      </c>
    </row>
    <row r="69" spans="1:6" ht="22.5" customHeight="1" thickBot="1">
      <c r="A69" s="53"/>
      <c r="B69" s="66" t="s">
        <v>128</v>
      </c>
      <c r="C69" s="67">
        <v>102</v>
      </c>
      <c r="D69" s="50"/>
      <c r="E69" s="322"/>
      <c r="F69" s="261"/>
    </row>
    <row r="70" spans="1:6" ht="18" customHeight="1" thickBot="1">
      <c r="A70" s="53"/>
      <c r="B70" s="66" t="s">
        <v>161</v>
      </c>
      <c r="C70" s="67">
        <v>103</v>
      </c>
      <c r="D70" s="50">
        <f>4474.558+429011.209</f>
        <v>433485.767</v>
      </c>
      <c r="E70" s="322">
        <v>254613</v>
      </c>
      <c r="F70" s="324">
        <f>D70+214.065</f>
        <v>433699.832</v>
      </c>
    </row>
    <row r="71" spans="1:6" ht="18.75" customHeight="1" thickBot="1">
      <c r="A71" s="53"/>
      <c r="B71" s="66" t="s">
        <v>162</v>
      </c>
      <c r="C71" s="67">
        <v>104</v>
      </c>
      <c r="D71" s="50"/>
      <c r="E71" s="322"/>
      <c r="F71" s="261"/>
    </row>
    <row r="72" spans="1:6" ht="15" thickBot="1">
      <c r="A72" s="53"/>
      <c r="B72" s="66" t="s">
        <v>163</v>
      </c>
      <c r="C72" s="67">
        <v>105</v>
      </c>
      <c r="D72" s="50">
        <f>97239.772+16207.039</f>
        <v>113446.811</v>
      </c>
      <c r="E72" s="322">
        <v>194814</v>
      </c>
      <c r="F72" s="324">
        <f>D72+17612.819</f>
        <v>131059.63</v>
      </c>
    </row>
    <row r="73" spans="1:6" ht="37.5" customHeight="1" thickBot="1">
      <c r="A73" s="53"/>
      <c r="B73" s="66" t="s">
        <v>164</v>
      </c>
      <c r="C73" s="67">
        <v>110</v>
      </c>
      <c r="D73" s="68">
        <f>D60-D66</f>
        <v>240453.45200000005</v>
      </c>
      <c r="E73" s="68">
        <f>E60-E66</f>
        <v>362371</v>
      </c>
      <c r="F73" s="323">
        <f>F60-F66</f>
        <v>990988.6840000004</v>
      </c>
    </row>
    <row r="74" spans="1:6" ht="15.75" customHeight="1" thickBot="1">
      <c r="A74" s="53"/>
      <c r="B74" s="66" t="s">
        <v>165</v>
      </c>
      <c r="C74" s="67">
        <v>120</v>
      </c>
      <c r="D74" s="50"/>
      <c r="E74" s="322"/>
      <c r="F74" s="261"/>
    </row>
    <row r="75" spans="1:7" ht="27" customHeight="1" thickBot="1">
      <c r="A75" s="53"/>
      <c r="B75" s="48" t="s">
        <v>166</v>
      </c>
      <c r="C75" s="49">
        <v>130</v>
      </c>
      <c r="D75" s="64">
        <f>D30+D58+D73</f>
        <v>100404.67812000029</v>
      </c>
      <c r="E75" s="64">
        <f>E30+E58+E73</f>
        <v>497867</v>
      </c>
      <c r="F75" s="64">
        <f>F30+F58+F73</f>
        <v>919121.8931200004</v>
      </c>
      <c r="G75" s="11"/>
    </row>
    <row r="76" spans="1:6" ht="41.25" customHeight="1" thickBot="1">
      <c r="A76" s="53"/>
      <c r="B76" s="48" t="s">
        <v>167</v>
      </c>
      <c r="C76" s="49">
        <v>140</v>
      </c>
      <c r="D76" s="64">
        <v>1720310</v>
      </c>
      <c r="E76" s="64">
        <v>1222443</v>
      </c>
      <c r="F76" s="64">
        <v>1720310</v>
      </c>
    </row>
    <row r="77" spans="1:6" ht="39" customHeight="1" thickBot="1">
      <c r="A77" s="53"/>
      <c r="B77" s="48" t="s">
        <v>168</v>
      </c>
      <c r="C77" s="46">
        <v>150</v>
      </c>
      <c r="D77" s="81">
        <f>D76+D75</f>
        <v>1820714.6781200003</v>
      </c>
      <c r="E77" s="81">
        <f>E76+E75</f>
        <v>1720310</v>
      </c>
      <c r="F77" s="81">
        <f>F76+F75</f>
        <v>2639431.89312</v>
      </c>
    </row>
    <row r="78" spans="1:6" ht="14.25">
      <c r="A78" s="53"/>
      <c r="B78" s="63"/>
      <c r="C78" s="79"/>
      <c r="D78" s="82"/>
      <c r="E78" s="83"/>
      <c r="F78">
        <v>2639432</v>
      </c>
    </row>
    <row r="79" spans="1:5" ht="15">
      <c r="A79" s="53"/>
      <c r="B79" s="63"/>
      <c r="C79" s="79"/>
      <c r="D79" s="80"/>
      <c r="E79" s="79"/>
    </row>
    <row r="80" spans="2:7" ht="12.75">
      <c r="B80" s="65" t="s">
        <v>63</v>
      </c>
      <c r="C80" s="79"/>
      <c r="D80" s="83"/>
      <c r="E80" s="79"/>
      <c r="G80" s="11">
        <f>F77-F78</f>
        <v>-0.10687999986112118</v>
      </c>
    </row>
    <row r="81" spans="2:5" ht="12.75">
      <c r="B81" s="71"/>
      <c r="C81" s="63"/>
      <c r="D81" s="70"/>
      <c r="E81" s="63"/>
    </row>
    <row r="82" spans="2:5" ht="12.75">
      <c r="B82" s="71" t="s">
        <v>64</v>
      </c>
      <c r="C82" s="63"/>
      <c r="D82" s="63"/>
      <c r="E82" s="63"/>
    </row>
    <row r="83" ht="18">
      <c r="B83" s="84"/>
    </row>
  </sheetData>
  <sheetProtection/>
  <mergeCells count="4">
    <mergeCell ref="B7:C7"/>
    <mergeCell ref="B12:E12"/>
    <mergeCell ref="B31:E31"/>
    <mergeCell ref="B59:E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B1:E37"/>
  <sheetViews>
    <sheetView zoomScalePageLayoutView="0" workbookViewId="0" topLeftCell="A18">
      <selection activeCell="D26" sqref="D26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">
      <c r="B1" s="3"/>
      <c r="C1" s="104"/>
      <c r="D1" s="104" t="s">
        <v>169</v>
      </c>
      <c r="E1" s="92"/>
    </row>
    <row r="2" spans="2:5" ht="15">
      <c r="B2" s="3"/>
      <c r="C2" s="104" t="s">
        <v>1</v>
      </c>
      <c r="D2" s="104"/>
      <c r="E2" s="92"/>
    </row>
    <row r="3" spans="2:5" ht="15">
      <c r="B3" s="3"/>
      <c r="C3" s="104" t="s">
        <v>2</v>
      </c>
      <c r="D3" s="104"/>
      <c r="E3" s="92"/>
    </row>
    <row r="4" spans="2:5" ht="15">
      <c r="B4" s="3"/>
      <c r="C4" s="3"/>
      <c r="D4" s="3"/>
      <c r="E4" s="3"/>
    </row>
    <row r="5" spans="2:5" ht="15.75">
      <c r="B5" s="2" t="s">
        <v>170</v>
      </c>
      <c r="C5" s="3"/>
      <c r="D5" s="3"/>
      <c r="E5" s="3"/>
    </row>
    <row r="6" spans="2:5" ht="15.75">
      <c r="B6" s="2"/>
      <c r="C6" s="3"/>
      <c r="D6" s="3"/>
      <c r="E6" s="3"/>
    </row>
    <row r="7" spans="2:5" ht="15.75">
      <c r="B7" s="4" t="s">
        <v>695</v>
      </c>
      <c r="C7" s="3"/>
      <c r="D7" s="3"/>
      <c r="E7" s="3"/>
    </row>
    <row r="8" spans="2:5" ht="15">
      <c r="B8" s="3"/>
      <c r="C8" s="3"/>
      <c r="D8" s="3"/>
      <c r="E8" s="3"/>
    </row>
    <row r="9" spans="2:5" ht="12.75" customHeight="1">
      <c r="B9" s="3"/>
      <c r="C9" s="3"/>
      <c r="D9" s="3"/>
      <c r="E9" s="62" t="s">
        <v>4</v>
      </c>
    </row>
    <row r="10" spans="2:5" ht="3" customHeight="1" hidden="1">
      <c r="B10" s="3"/>
      <c r="C10" s="3"/>
      <c r="D10" s="3"/>
      <c r="E10" s="3"/>
    </row>
    <row r="11" spans="2:5" ht="15.75" thickBot="1">
      <c r="B11" s="3"/>
      <c r="C11" s="3"/>
      <c r="D11" s="3"/>
      <c r="E11" s="3"/>
    </row>
    <row r="12" spans="2:5" ht="63.75" customHeight="1" thickBot="1">
      <c r="B12" s="5" t="s">
        <v>112</v>
      </c>
      <c r="C12" s="6" t="s">
        <v>6</v>
      </c>
      <c r="D12" s="6" t="s">
        <v>113</v>
      </c>
      <c r="E12" s="6" t="s">
        <v>171</v>
      </c>
    </row>
    <row r="13" spans="2:5" ht="16.5" thickBot="1">
      <c r="B13" s="7" t="s">
        <v>172</v>
      </c>
      <c r="C13" s="8">
        <v>10</v>
      </c>
      <c r="D13" s="93">
        <f>('расч приб 2014'!AO4+'расч приб 2014'!AO25)/1000</f>
        <v>8722338.7501</v>
      </c>
      <c r="E13" s="93">
        <v>7092076</v>
      </c>
    </row>
    <row r="14" spans="2:5" ht="34.5" customHeight="1" thickBot="1">
      <c r="B14" s="7" t="s">
        <v>173</v>
      </c>
      <c r="C14" s="8">
        <v>11</v>
      </c>
      <c r="D14" s="101">
        <f>'расч приб 2014'!AO5/1000</f>
        <v>6358278.758549999</v>
      </c>
      <c r="E14" s="94">
        <v>4743781</v>
      </c>
    </row>
    <row r="15" spans="2:5" ht="30.75" customHeight="1" thickBot="1">
      <c r="B15" s="7" t="s">
        <v>174</v>
      </c>
      <c r="C15" s="8">
        <v>12</v>
      </c>
      <c r="D15" s="72">
        <f>D13-D14</f>
        <v>2364059.9915500004</v>
      </c>
      <c r="E15" s="72">
        <f>E13-E14</f>
        <v>2348295</v>
      </c>
    </row>
    <row r="16" spans="2:5" ht="24.75" customHeight="1" thickBot="1">
      <c r="B16" s="7" t="s">
        <v>175</v>
      </c>
      <c r="C16" s="8">
        <v>13</v>
      </c>
      <c r="D16" s="10">
        <f>'расч приб 2014'!AO11/1000</f>
        <v>100634.65533999998</v>
      </c>
      <c r="E16" s="10">
        <v>70746</v>
      </c>
    </row>
    <row r="17" spans="2:5" ht="21" customHeight="1" thickBot="1">
      <c r="B17" s="7" t="s">
        <v>176</v>
      </c>
      <c r="C17" s="8">
        <v>14</v>
      </c>
      <c r="D17" s="10">
        <f>('расч приб 2014'!AO9+'расч приб 2014'!AO10)/1000</f>
        <v>879081.2938399999</v>
      </c>
      <c r="E17" s="10">
        <v>604889.049</v>
      </c>
    </row>
    <row r="18" spans="2:5" ht="16.5" thickBot="1">
      <c r="B18" s="7" t="s">
        <v>177</v>
      </c>
      <c r="C18" s="8">
        <v>15</v>
      </c>
      <c r="D18" s="10"/>
      <c r="E18" s="10"/>
    </row>
    <row r="19" spans="2:5" ht="16.5" thickBot="1">
      <c r="B19" s="7" t="s">
        <v>178</v>
      </c>
      <c r="C19" s="8">
        <v>16</v>
      </c>
      <c r="D19" s="10">
        <f>('расч приб 2014'!AO32-'расч приб 2014'!AO31-'расч приб 2014'!AO30-'расч приб 2014'!AO25-'расч приб 2014'!AO22-'расч приб 2014'!AO35-'расч приб 2014'!AO36-'расч приб 2014'!AO37-'расч приб 2014'!AO39)/1000</f>
        <v>83748.12202000001</v>
      </c>
      <c r="E19" s="10">
        <v>121958</v>
      </c>
    </row>
    <row r="20" spans="2:5" ht="35.25" customHeight="1" thickBot="1">
      <c r="B20" s="7" t="s">
        <v>179</v>
      </c>
      <c r="C20" s="8">
        <v>20</v>
      </c>
      <c r="D20" s="10">
        <f>D15-D16-D17+D19-D18</f>
        <v>1468092.1643900005</v>
      </c>
      <c r="E20" s="10">
        <f>E15-E16-E17+E19-E18</f>
        <v>1794617.951</v>
      </c>
    </row>
    <row r="21" spans="2:5" ht="24" customHeight="1" thickBot="1">
      <c r="B21" s="7" t="s">
        <v>180</v>
      </c>
      <c r="C21" s="8">
        <v>21</v>
      </c>
      <c r="D21" s="10">
        <f>('расч приб 2014'!AO22+'расч приб 2014'!AO30+'расч приб 2014'!AO31)/1000</f>
        <v>41867.11263999999</v>
      </c>
      <c r="E21" s="10">
        <v>6214</v>
      </c>
    </row>
    <row r="22" spans="2:5" ht="29.25" customHeight="1" thickBot="1">
      <c r="B22" s="7" t="s">
        <v>181</v>
      </c>
      <c r="C22" s="8">
        <v>22</v>
      </c>
      <c r="D22" s="10">
        <f>('расч приб 2014'!AO12+'расч приб 2014'!AO13)/1000</f>
        <v>293993.83741</v>
      </c>
      <c r="E22" s="10">
        <v>222232</v>
      </c>
    </row>
    <row r="23" spans="2:5" ht="62.25" customHeight="1" thickBot="1">
      <c r="B23" s="7" t="s">
        <v>182</v>
      </c>
      <c r="C23" s="8">
        <v>23</v>
      </c>
      <c r="D23" s="10"/>
      <c r="E23" s="10"/>
    </row>
    <row r="24" spans="2:5" ht="20.25" customHeight="1" thickBot="1">
      <c r="B24" s="7" t="s">
        <v>183</v>
      </c>
      <c r="C24" s="8">
        <v>24</v>
      </c>
      <c r="D24" s="10"/>
      <c r="E24" s="10"/>
    </row>
    <row r="25" spans="2:5" ht="17.25" customHeight="1" thickBot="1">
      <c r="B25" s="7" t="s">
        <v>184</v>
      </c>
      <c r="C25" s="8">
        <v>25</v>
      </c>
      <c r="D25" s="10"/>
      <c r="E25" s="10"/>
    </row>
    <row r="26" spans="2:5" ht="36" customHeight="1" thickBot="1">
      <c r="B26" s="7" t="s">
        <v>185</v>
      </c>
      <c r="C26" s="8">
        <v>100</v>
      </c>
      <c r="D26" s="72">
        <f>D20+D21-D22-D25</f>
        <v>1215965.4396200005</v>
      </c>
      <c r="E26" s="72">
        <f>E20+E21-E22-E25</f>
        <v>1578599.951</v>
      </c>
    </row>
    <row r="27" spans="2:5" ht="23.25" customHeight="1" thickBot="1">
      <c r="B27" s="7" t="s">
        <v>186</v>
      </c>
      <c r="C27" s="5">
        <v>101</v>
      </c>
      <c r="D27" s="95">
        <f>('расч приб 2014'!AO44+'расч приб 2014'!AO45)/1000</f>
        <v>261409.755</v>
      </c>
      <c r="E27" s="95">
        <v>318215</v>
      </c>
    </row>
    <row r="28" spans="2:5" ht="54.75" customHeight="1" thickBot="1">
      <c r="B28" s="7" t="s">
        <v>187</v>
      </c>
      <c r="C28" s="8">
        <v>200</v>
      </c>
      <c r="D28" s="10">
        <f>D26-D27</f>
        <v>954555.6846200005</v>
      </c>
      <c r="E28" s="10">
        <f>E26-E27</f>
        <v>1260384.951</v>
      </c>
    </row>
    <row r="29" spans="2:5" ht="48.75" customHeight="1" thickBot="1">
      <c r="B29" s="7" t="s">
        <v>188</v>
      </c>
      <c r="C29" s="8">
        <v>201</v>
      </c>
      <c r="D29" s="10"/>
      <c r="E29" s="10"/>
    </row>
    <row r="30" spans="2:5" ht="33.75" customHeight="1" thickBot="1">
      <c r="B30" s="7" t="s">
        <v>189</v>
      </c>
      <c r="C30" s="8">
        <v>300</v>
      </c>
      <c r="D30" s="72">
        <f>D28+D29</f>
        <v>954555.6846200005</v>
      </c>
      <c r="E30" s="72">
        <f>E28+E29</f>
        <v>1260384.951</v>
      </c>
    </row>
    <row r="31" spans="2:5" ht="16.5" thickBot="1">
      <c r="B31" s="7" t="s">
        <v>193</v>
      </c>
      <c r="C31" s="8"/>
      <c r="D31" s="10"/>
      <c r="E31" s="10"/>
    </row>
    <row r="32" spans="2:5" ht="16.5" thickBot="1">
      <c r="B32" s="7" t="s">
        <v>194</v>
      </c>
      <c r="C32" s="8"/>
      <c r="D32" s="10"/>
      <c r="E32" s="10"/>
    </row>
    <row r="33" spans="2:5" ht="15">
      <c r="B33" s="96"/>
      <c r="C33" s="3"/>
      <c r="D33" s="3"/>
      <c r="E33" s="97"/>
    </row>
    <row r="34" spans="2:5" ht="15">
      <c r="B34" s="98" t="s">
        <v>63</v>
      </c>
      <c r="C34" s="3"/>
      <c r="D34" s="3"/>
      <c r="E34" s="97"/>
    </row>
    <row r="35" spans="2:5" ht="15">
      <c r="B35" s="96"/>
      <c r="C35" s="3"/>
      <c r="D35" s="3"/>
      <c r="E35" s="97"/>
    </row>
    <row r="36" spans="2:5" ht="15">
      <c r="B36" s="98" t="s">
        <v>64</v>
      </c>
      <c r="C36" s="3"/>
      <c r="D36" s="3"/>
      <c r="E36" s="97"/>
    </row>
    <row r="37" spans="2:4" ht="18">
      <c r="B37" s="85"/>
      <c r="D37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37">
      <selection activeCell="G41" sqref="G41"/>
    </sheetView>
  </sheetViews>
  <sheetFormatPr defaultColWidth="9.00390625" defaultRowHeight="12.75"/>
  <cols>
    <col min="1" max="1" width="2.00390625" style="0" customWidth="1"/>
    <col min="2" max="2" width="43.25390625" style="0" customWidth="1"/>
    <col min="3" max="3" width="11.125" style="0" customWidth="1"/>
    <col min="4" max="4" width="19.875" style="0" customWidth="1"/>
    <col min="5" max="5" width="20.625" style="0" customWidth="1"/>
    <col min="6" max="9" width="25.875" style="0" customWidth="1"/>
  </cols>
  <sheetData>
    <row r="1" spans="1:5" ht="14.25">
      <c r="A1" s="53"/>
      <c r="B1" s="53"/>
      <c r="C1" s="63"/>
      <c r="D1" s="63" t="s">
        <v>108</v>
      </c>
      <c r="E1" s="53"/>
    </row>
    <row r="2" spans="1:5" ht="14.25">
      <c r="A2" s="53"/>
      <c r="B2" s="53"/>
      <c r="C2" s="63" t="s">
        <v>1</v>
      </c>
      <c r="D2" s="63"/>
      <c r="E2" s="53"/>
    </row>
    <row r="3" spans="1:5" ht="14.25">
      <c r="A3" s="53"/>
      <c r="B3" s="53"/>
      <c r="C3" s="63" t="s">
        <v>109</v>
      </c>
      <c r="D3" s="63"/>
      <c r="E3" s="53"/>
    </row>
    <row r="4" spans="1:5" ht="14.25">
      <c r="A4" s="53"/>
      <c r="B4" s="53"/>
      <c r="C4" s="53"/>
      <c r="D4" s="53"/>
      <c r="E4" s="53"/>
    </row>
    <row r="5" spans="1:5" ht="14.25">
      <c r="A5" s="53"/>
      <c r="B5" s="53"/>
      <c r="C5" s="86" t="s">
        <v>110</v>
      </c>
      <c r="D5" s="53"/>
      <c r="E5" s="63"/>
    </row>
    <row r="6" spans="1:5" ht="14.25">
      <c r="A6" s="53"/>
      <c r="B6" s="53"/>
      <c r="C6" s="86"/>
      <c r="D6" s="53"/>
      <c r="E6" s="63"/>
    </row>
    <row r="7" spans="1:5" ht="12.75" customHeight="1">
      <c r="A7" s="53"/>
      <c r="B7" s="365" t="s">
        <v>699</v>
      </c>
      <c r="C7" s="366"/>
      <c r="D7" s="53"/>
      <c r="E7" s="63"/>
    </row>
    <row r="8" spans="1:5" ht="15">
      <c r="A8" s="53"/>
      <c r="B8" s="53"/>
      <c r="C8" s="87"/>
      <c r="D8" s="53"/>
      <c r="E8" s="63"/>
    </row>
    <row r="9" spans="1:5" ht="14.25">
      <c r="A9" s="53"/>
      <c r="B9" s="63"/>
      <c r="C9" s="63"/>
      <c r="D9" s="63"/>
      <c r="E9" s="45" t="s">
        <v>111</v>
      </c>
    </row>
    <row r="10" spans="1:5" ht="15" thickBot="1">
      <c r="A10" s="53"/>
      <c r="B10" s="63"/>
      <c r="C10" s="63"/>
      <c r="D10" s="63"/>
      <c r="E10" s="63"/>
    </row>
    <row r="11" spans="1:5" ht="33.75" customHeight="1" thickBot="1">
      <c r="A11" s="53"/>
      <c r="B11" s="46" t="s">
        <v>112</v>
      </c>
      <c r="C11" s="47" t="s">
        <v>6</v>
      </c>
      <c r="D11" s="47" t="s">
        <v>113</v>
      </c>
      <c r="E11" s="47" t="s">
        <v>114</v>
      </c>
    </row>
    <row r="12" spans="1:5" ht="13.5" customHeight="1" thickBot="1">
      <c r="A12" s="53"/>
      <c r="B12" s="367" t="s">
        <v>115</v>
      </c>
      <c r="C12" s="368"/>
      <c r="D12" s="368"/>
      <c r="E12" s="395"/>
    </row>
    <row r="13" spans="1:7" ht="35.25" customHeight="1" thickBot="1">
      <c r="A13" s="53"/>
      <c r="B13" s="48" t="s">
        <v>116</v>
      </c>
      <c r="C13" s="49">
        <v>10</v>
      </c>
      <c r="D13" s="64">
        <f>SUM(D14:D20)</f>
        <v>10123992</v>
      </c>
      <c r="E13" s="64">
        <f>SUM(E14:E20)</f>
        <v>9562296</v>
      </c>
      <c r="G13" s="11"/>
    </row>
    <row r="14" spans="1:5" ht="22.5" customHeight="1" thickBot="1">
      <c r="A14" s="53"/>
      <c r="B14" s="48" t="s">
        <v>117</v>
      </c>
      <c r="C14" s="49"/>
      <c r="D14" s="78"/>
      <c r="E14" s="50"/>
    </row>
    <row r="15" spans="1:5" ht="15.75" customHeight="1" thickBot="1">
      <c r="A15" s="53"/>
      <c r="B15" s="66" t="s">
        <v>118</v>
      </c>
      <c r="C15" s="67">
        <v>11</v>
      </c>
      <c r="D15" s="50">
        <v>9237447</v>
      </c>
      <c r="E15" s="50">
        <v>9077032</v>
      </c>
    </row>
    <row r="16" spans="1:5" ht="18" customHeight="1" thickBot="1">
      <c r="A16" s="53"/>
      <c r="B16" s="66" t="s">
        <v>119</v>
      </c>
      <c r="C16" s="67">
        <v>12</v>
      </c>
      <c r="D16" s="50"/>
      <c r="E16" s="50"/>
    </row>
    <row r="17" spans="1:7" ht="29.25" customHeight="1" thickBot="1">
      <c r="A17" s="53"/>
      <c r="B17" s="66" t="s">
        <v>120</v>
      </c>
      <c r="C17" s="67">
        <v>13</v>
      </c>
      <c r="D17" s="50">
        <v>676987</v>
      </c>
      <c r="E17" s="50">
        <v>179295</v>
      </c>
      <c r="G17" s="54"/>
    </row>
    <row r="18" spans="1:5" ht="18" customHeight="1" thickBot="1">
      <c r="A18" s="53"/>
      <c r="B18" s="66" t="s">
        <v>121</v>
      </c>
      <c r="C18" s="67">
        <v>14</v>
      </c>
      <c r="D18" s="50"/>
      <c r="E18" s="50"/>
    </row>
    <row r="19" spans="1:5" ht="15" customHeight="1" thickBot="1">
      <c r="A19" s="53"/>
      <c r="B19" s="66" t="s">
        <v>122</v>
      </c>
      <c r="C19" s="67">
        <v>15</v>
      </c>
      <c r="D19" s="50"/>
      <c r="E19" s="50"/>
    </row>
    <row r="20" spans="1:5" ht="41.25" customHeight="1" thickBot="1">
      <c r="A20" s="53"/>
      <c r="B20" s="66" t="s">
        <v>123</v>
      </c>
      <c r="C20" s="67">
        <v>16</v>
      </c>
      <c r="D20" s="50">
        <v>209558</v>
      </c>
      <c r="E20" s="50">
        <v>305969</v>
      </c>
    </row>
    <row r="21" spans="1:5" ht="36" customHeight="1" thickBot="1">
      <c r="A21" s="53"/>
      <c r="B21" s="66" t="s">
        <v>124</v>
      </c>
      <c r="C21" s="67">
        <v>20</v>
      </c>
      <c r="D21" s="68">
        <f>SUM(D23:D29)</f>
        <v>8590490</v>
      </c>
      <c r="E21" s="68">
        <f>SUM(E23:E29)</f>
        <v>7364169</v>
      </c>
    </row>
    <row r="22" spans="1:5" ht="15" thickBot="1">
      <c r="A22" s="53"/>
      <c r="B22" s="66" t="s">
        <v>117</v>
      </c>
      <c r="C22" s="67"/>
      <c r="D22" s="50"/>
      <c r="E22" s="50"/>
    </row>
    <row r="23" spans="1:5" ht="21" customHeight="1" thickBot="1">
      <c r="A23" s="53"/>
      <c r="B23" s="66" t="s">
        <v>125</v>
      </c>
      <c r="C23" s="67">
        <v>21</v>
      </c>
      <c r="D23" s="50">
        <v>5379759</v>
      </c>
      <c r="E23" s="50">
        <v>4323119</v>
      </c>
    </row>
    <row r="24" spans="1:5" ht="33" customHeight="1" thickBot="1">
      <c r="A24" s="53"/>
      <c r="B24" s="66" t="s">
        <v>126</v>
      </c>
      <c r="C24" s="67">
        <v>22</v>
      </c>
      <c r="D24" s="50">
        <v>371876</v>
      </c>
      <c r="E24" s="50">
        <v>300215</v>
      </c>
    </row>
    <row r="25" spans="1:5" ht="15" thickBot="1">
      <c r="A25" s="53"/>
      <c r="B25" s="66" t="s">
        <v>127</v>
      </c>
      <c r="C25" s="67">
        <v>23</v>
      </c>
      <c r="D25" s="50">
        <v>1332076</v>
      </c>
      <c r="E25" s="50">
        <v>1209299</v>
      </c>
    </row>
    <row r="26" spans="1:5" ht="16.5" customHeight="1" thickBot="1">
      <c r="A26" s="53"/>
      <c r="B26" s="66" t="s">
        <v>128</v>
      </c>
      <c r="C26" s="67">
        <v>24</v>
      </c>
      <c r="D26" s="50">
        <v>197524</v>
      </c>
      <c r="E26" s="50">
        <v>256803</v>
      </c>
    </row>
    <row r="27" spans="1:5" ht="24" customHeight="1" thickBot="1">
      <c r="A27" s="53"/>
      <c r="B27" s="66" t="s">
        <v>129</v>
      </c>
      <c r="C27" s="67">
        <v>25</v>
      </c>
      <c r="D27" s="50"/>
      <c r="E27" s="50"/>
    </row>
    <row r="28" spans="1:5" ht="28.5" customHeight="1" thickBot="1">
      <c r="A28" s="53"/>
      <c r="B28" s="66" t="s">
        <v>130</v>
      </c>
      <c r="C28" s="67">
        <v>26</v>
      </c>
      <c r="D28" s="50">
        <v>832164</v>
      </c>
      <c r="E28" s="50">
        <v>1140659</v>
      </c>
    </row>
    <row r="29" spans="1:5" ht="15" thickBot="1">
      <c r="A29" s="53"/>
      <c r="B29" s="66" t="s">
        <v>131</v>
      </c>
      <c r="C29" s="67">
        <v>27</v>
      </c>
      <c r="D29" s="50">
        <v>477091</v>
      </c>
      <c r="E29" s="50">
        <v>134074</v>
      </c>
    </row>
    <row r="30" spans="1:7" ht="52.5" customHeight="1" thickBot="1">
      <c r="A30" s="53"/>
      <c r="B30" s="66" t="s">
        <v>132</v>
      </c>
      <c r="C30" s="67">
        <v>30</v>
      </c>
      <c r="D30" s="68">
        <f>D13-D21</f>
        <v>1533502</v>
      </c>
      <c r="E30" s="68">
        <f>E13-E21</f>
        <v>2198127</v>
      </c>
      <c r="G30" s="11"/>
    </row>
    <row r="31" spans="1:5" ht="13.5" customHeight="1" thickBot="1">
      <c r="A31" s="53"/>
      <c r="B31" s="369" t="s">
        <v>133</v>
      </c>
      <c r="C31" s="370"/>
      <c r="D31" s="370"/>
      <c r="E31" s="396"/>
    </row>
    <row r="32" spans="1:5" ht="43.5" customHeight="1" thickBot="1">
      <c r="A32" s="53"/>
      <c r="B32" s="66" t="s">
        <v>134</v>
      </c>
      <c r="C32" s="67">
        <v>40</v>
      </c>
      <c r="D32" s="50">
        <f>SUM(D33:D44)</f>
        <v>0</v>
      </c>
      <c r="E32" s="50">
        <f>SUM(E33:E44)</f>
        <v>0</v>
      </c>
    </row>
    <row r="33" spans="1:5" ht="15" thickBot="1">
      <c r="A33" s="53"/>
      <c r="B33" s="66" t="s">
        <v>117</v>
      </c>
      <c r="C33" s="67"/>
      <c r="D33" s="50"/>
      <c r="E33" s="50"/>
    </row>
    <row r="34" spans="1:5" ht="18" customHeight="1" thickBot="1">
      <c r="A34" s="53"/>
      <c r="B34" s="66" t="s">
        <v>135</v>
      </c>
      <c r="C34" s="67">
        <v>41</v>
      </c>
      <c r="D34" s="50"/>
      <c r="E34" s="50"/>
    </row>
    <row r="35" spans="1:5" ht="25.5" customHeight="1" thickBot="1">
      <c r="A35" s="53"/>
      <c r="B35" s="66" t="s">
        <v>136</v>
      </c>
      <c r="C35" s="67">
        <v>42</v>
      </c>
      <c r="D35" s="50"/>
      <c r="E35" s="50"/>
    </row>
    <row r="36" spans="1:5" ht="17.25" customHeight="1" thickBot="1">
      <c r="A36" s="53"/>
      <c r="B36" s="66" t="s">
        <v>137</v>
      </c>
      <c r="C36" s="67">
        <v>43</v>
      </c>
      <c r="D36" s="50"/>
      <c r="E36" s="50"/>
    </row>
    <row r="37" spans="1:5" ht="41.25" customHeight="1" thickBot="1">
      <c r="A37" s="53"/>
      <c r="B37" s="66" t="s">
        <v>138</v>
      </c>
      <c r="C37" s="67">
        <v>44</v>
      </c>
      <c r="D37" s="50"/>
      <c r="E37" s="50"/>
    </row>
    <row r="38" spans="1:5" ht="34.5" customHeight="1" thickBot="1">
      <c r="A38" s="53"/>
      <c r="B38" s="66" t="s">
        <v>139</v>
      </c>
      <c r="C38" s="67">
        <v>45</v>
      </c>
      <c r="D38" s="50"/>
      <c r="E38" s="50"/>
    </row>
    <row r="39" spans="1:5" ht="36.75" customHeight="1" thickBot="1">
      <c r="A39" s="53"/>
      <c r="B39" s="66" t="s">
        <v>140</v>
      </c>
      <c r="C39" s="67">
        <v>46</v>
      </c>
      <c r="D39" s="50"/>
      <c r="E39" s="50"/>
    </row>
    <row r="40" spans="1:5" ht="31.5" customHeight="1" thickBot="1">
      <c r="A40" s="53"/>
      <c r="B40" s="66" t="s">
        <v>141</v>
      </c>
      <c r="C40" s="67">
        <v>47</v>
      </c>
      <c r="D40" s="50"/>
      <c r="E40" s="50"/>
    </row>
    <row r="41" spans="1:5" ht="33.75" customHeight="1" thickBot="1">
      <c r="A41" s="53"/>
      <c r="B41" s="66" t="s">
        <v>142</v>
      </c>
      <c r="C41" s="67">
        <v>48</v>
      </c>
      <c r="D41" s="50"/>
      <c r="E41" s="50"/>
    </row>
    <row r="42" spans="1:5" ht="22.5" customHeight="1" thickBot="1">
      <c r="A42" s="53"/>
      <c r="B42" s="66" t="s">
        <v>143</v>
      </c>
      <c r="C42" s="67">
        <v>49</v>
      </c>
      <c r="D42" s="50"/>
      <c r="E42" s="50"/>
    </row>
    <row r="43" spans="1:5" ht="18" customHeight="1" thickBot="1">
      <c r="A43" s="53"/>
      <c r="B43" s="66" t="s">
        <v>122</v>
      </c>
      <c r="C43" s="67">
        <v>50</v>
      </c>
      <c r="D43" s="50"/>
      <c r="E43" s="50"/>
    </row>
    <row r="44" spans="1:5" ht="21.75" customHeight="1" thickBot="1">
      <c r="A44" s="53"/>
      <c r="B44" s="66" t="s">
        <v>123</v>
      </c>
      <c r="C44" s="67">
        <v>51</v>
      </c>
      <c r="D44" s="50"/>
      <c r="E44" s="50"/>
    </row>
    <row r="45" spans="1:7" ht="42.75" customHeight="1" thickBot="1">
      <c r="A45" s="53"/>
      <c r="B45" s="66" t="s">
        <v>144</v>
      </c>
      <c r="C45" s="67">
        <v>60</v>
      </c>
      <c r="D45" s="68">
        <f>SUM(D47:D49)</f>
        <v>3123236</v>
      </c>
      <c r="E45" s="68">
        <f>SUM(E47:E49)</f>
        <v>2062631</v>
      </c>
      <c r="G45" s="11"/>
    </row>
    <row r="46" spans="1:5" ht="15" thickBot="1">
      <c r="A46" s="53"/>
      <c r="B46" s="66" t="s">
        <v>117</v>
      </c>
      <c r="C46" s="67"/>
      <c r="D46" s="50"/>
      <c r="E46" s="50"/>
    </row>
    <row r="47" spans="1:5" ht="29.25" customHeight="1" thickBot="1">
      <c r="A47" s="53"/>
      <c r="B47" s="66" t="s">
        <v>145</v>
      </c>
      <c r="C47" s="67">
        <v>61</v>
      </c>
      <c r="D47" s="103">
        <v>3000431</v>
      </c>
      <c r="E47" s="103">
        <v>2037962</v>
      </c>
    </row>
    <row r="48" spans="1:5" ht="18" customHeight="1" thickBot="1">
      <c r="A48" s="53"/>
      <c r="B48" s="66" t="s">
        <v>146</v>
      </c>
      <c r="C48" s="67">
        <v>62</v>
      </c>
      <c r="D48" s="103">
        <v>85551</v>
      </c>
      <c r="E48" s="103">
        <v>22229</v>
      </c>
    </row>
    <row r="49" spans="1:5" ht="27" customHeight="1" thickBot="1">
      <c r="A49" s="53"/>
      <c r="B49" s="66" t="s">
        <v>147</v>
      </c>
      <c r="C49" s="67">
        <v>63</v>
      </c>
      <c r="D49" s="103">
        <v>37254</v>
      </c>
      <c r="E49" s="103">
        <v>2440</v>
      </c>
    </row>
    <row r="50" spans="1:5" ht="41.25" customHeight="1" thickBot="1">
      <c r="A50" s="53"/>
      <c r="B50" s="66" t="s">
        <v>148</v>
      </c>
      <c r="C50" s="67">
        <v>64</v>
      </c>
      <c r="D50" s="50"/>
      <c r="E50" s="50"/>
    </row>
    <row r="51" spans="1:5" ht="30.75" customHeight="1" thickBot="1">
      <c r="A51" s="53"/>
      <c r="B51" s="66" t="s">
        <v>149</v>
      </c>
      <c r="C51" s="67">
        <v>65</v>
      </c>
      <c r="D51" s="50"/>
      <c r="E51" s="50"/>
    </row>
    <row r="52" spans="1:5" ht="37.5" customHeight="1" thickBot="1">
      <c r="A52" s="53"/>
      <c r="B52" s="66" t="s">
        <v>150</v>
      </c>
      <c r="C52" s="67">
        <v>66</v>
      </c>
      <c r="D52" s="50"/>
      <c r="E52" s="50"/>
    </row>
    <row r="53" spans="1:5" ht="16.5" customHeight="1" thickBot="1">
      <c r="A53" s="53"/>
      <c r="B53" s="66" t="s">
        <v>151</v>
      </c>
      <c r="C53" s="67">
        <v>67</v>
      </c>
      <c r="D53" s="50"/>
      <c r="E53" s="50"/>
    </row>
    <row r="54" spans="1:5" ht="15" thickBot="1">
      <c r="A54" s="53"/>
      <c r="B54" s="66" t="s">
        <v>152</v>
      </c>
      <c r="C54" s="67">
        <v>68</v>
      </c>
      <c r="D54" s="50"/>
      <c r="E54" s="50"/>
    </row>
    <row r="55" spans="1:5" ht="32.25" customHeight="1" thickBot="1">
      <c r="A55" s="53"/>
      <c r="B55" s="66" t="s">
        <v>142</v>
      </c>
      <c r="C55" s="67">
        <v>69</v>
      </c>
      <c r="D55" s="50"/>
      <c r="E55" s="50"/>
    </row>
    <row r="56" spans="1:5" ht="43.5" customHeight="1" thickBot="1">
      <c r="A56" s="53"/>
      <c r="B56" s="66" t="s">
        <v>153</v>
      </c>
      <c r="C56" s="67">
        <v>70</v>
      </c>
      <c r="D56" s="50"/>
      <c r="E56" s="50"/>
    </row>
    <row r="57" spans="1:5" ht="15" thickBot="1">
      <c r="A57" s="53"/>
      <c r="B57" s="66" t="s">
        <v>131</v>
      </c>
      <c r="C57" s="67">
        <v>71</v>
      </c>
      <c r="D57" s="50"/>
      <c r="E57" s="50"/>
    </row>
    <row r="58" spans="1:5" ht="42" customHeight="1" thickBot="1">
      <c r="A58" s="53"/>
      <c r="B58" s="66" t="s">
        <v>154</v>
      </c>
      <c r="C58" s="67">
        <v>80</v>
      </c>
      <c r="D58" s="50">
        <f>D32-D45</f>
        <v>-3123236</v>
      </c>
      <c r="E58" s="103">
        <f>E32-E45</f>
        <v>-2062631</v>
      </c>
    </row>
    <row r="59" spans="1:5" ht="13.5" customHeight="1" thickBot="1">
      <c r="A59" s="53"/>
      <c r="B59" s="369" t="s">
        <v>155</v>
      </c>
      <c r="C59" s="370"/>
      <c r="D59" s="370"/>
      <c r="E59" s="396"/>
    </row>
    <row r="60" spans="1:5" ht="44.25" customHeight="1" thickBot="1">
      <c r="A60" s="53"/>
      <c r="B60" s="66" t="s">
        <v>156</v>
      </c>
      <c r="C60" s="67">
        <v>90</v>
      </c>
      <c r="D60" s="68">
        <f>D65+D64+D63+D62</f>
        <v>3275792.367</v>
      </c>
      <c r="E60" s="68">
        <f>E65+E64+E63+E62</f>
        <v>1601988</v>
      </c>
    </row>
    <row r="61" spans="1:5" ht="15" thickBot="1">
      <c r="A61" s="53"/>
      <c r="B61" s="66" t="s">
        <v>117</v>
      </c>
      <c r="C61" s="67"/>
      <c r="D61" s="50"/>
      <c r="E61" s="50"/>
    </row>
    <row r="62" spans="1:5" ht="29.25" customHeight="1" thickBot="1">
      <c r="A62" s="53"/>
      <c r="B62" s="66" t="s">
        <v>157</v>
      </c>
      <c r="C62" s="67">
        <v>91</v>
      </c>
      <c r="D62" s="50"/>
      <c r="E62" s="50"/>
    </row>
    <row r="63" spans="1:5" ht="15" thickBot="1">
      <c r="A63" s="53"/>
      <c r="B63" s="66" t="s">
        <v>158</v>
      </c>
      <c r="C63" s="67">
        <v>92</v>
      </c>
      <c r="D63" s="50">
        <f>1577306.03+766956.337</f>
        <v>2344262.367</v>
      </c>
      <c r="E63" s="50">
        <v>1601764</v>
      </c>
    </row>
    <row r="64" spans="1:5" ht="25.5" customHeight="1" thickBot="1">
      <c r="A64" s="53"/>
      <c r="B64" s="66" t="s">
        <v>122</v>
      </c>
      <c r="C64" s="67">
        <v>93</v>
      </c>
      <c r="D64" s="50"/>
      <c r="E64" s="50"/>
    </row>
    <row r="65" spans="1:5" ht="17.25" customHeight="1" thickBot="1">
      <c r="A65" s="53"/>
      <c r="B65" s="66" t="s">
        <v>123</v>
      </c>
      <c r="C65" s="67">
        <v>94</v>
      </c>
      <c r="D65" s="50">
        <v>931530</v>
      </c>
      <c r="E65" s="69">
        <v>224</v>
      </c>
    </row>
    <row r="66" spans="1:7" ht="28.5" customHeight="1" thickBot="1">
      <c r="A66" s="53"/>
      <c r="B66" s="66" t="s">
        <v>159</v>
      </c>
      <c r="C66" s="67">
        <v>100</v>
      </c>
      <c r="D66" s="68">
        <f>SUM(D68:D72)</f>
        <v>2720731</v>
      </c>
      <c r="E66" s="68">
        <f>SUM(E68:E72)</f>
        <v>1239617</v>
      </c>
      <c r="G66" s="11"/>
    </row>
    <row r="67" spans="1:7" ht="18.75" customHeight="1" thickBot="1">
      <c r="A67" s="53"/>
      <c r="B67" s="66" t="s">
        <v>117</v>
      </c>
      <c r="C67" s="67"/>
      <c r="D67" s="50"/>
      <c r="E67" s="50"/>
      <c r="G67" s="11"/>
    </row>
    <row r="68" spans="1:5" ht="19.5" customHeight="1" thickBot="1">
      <c r="A68" s="53"/>
      <c r="B68" s="66" t="s">
        <v>160</v>
      </c>
      <c r="C68" s="67">
        <v>101</v>
      </c>
      <c r="D68" s="50">
        <v>789920</v>
      </c>
      <c r="E68" s="50">
        <v>790190</v>
      </c>
    </row>
    <row r="69" spans="1:5" ht="22.5" customHeight="1" thickBot="1">
      <c r="A69" s="53"/>
      <c r="B69" s="66" t="s">
        <v>128</v>
      </c>
      <c r="C69" s="67">
        <v>102</v>
      </c>
      <c r="D69" s="50"/>
      <c r="E69" s="50"/>
    </row>
    <row r="70" spans="1:5" ht="18" customHeight="1" thickBot="1">
      <c r="A70" s="53"/>
      <c r="B70" s="66" t="s">
        <v>161</v>
      </c>
      <c r="C70" s="67">
        <v>103</v>
      </c>
      <c r="D70" s="50">
        <v>434130</v>
      </c>
      <c r="E70" s="50">
        <v>254613</v>
      </c>
    </row>
    <row r="71" spans="1:5" ht="18.75" customHeight="1" thickBot="1">
      <c r="A71" s="53"/>
      <c r="B71" s="66" t="s">
        <v>162</v>
      </c>
      <c r="C71" s="67">
        <v>104</v>
      </c>
      <c r="D71" s="50"/>
      <c r="E71" s="50"/>
    </row>
    <row r="72" spans="1:5" ht="15" thickBot="1">
      <c r="A72" s="53"/>
      <c r="B72" s="66" t="s">
        <v>163</v>
      </c>
      <c r="C72" s="67">
        <v>105</v>
      </c>
      <c r="D72" s="50">
        <v>1496681</v>
      </c>
      <c r="E72" s="50">
        <v>194814</v>
      </c>
    </row>
    <row r="73" spans="1:5" ht="37.5" customHeight="1" thickBot="1">
      <c r="A73" s="53"/>
      <c r="B73" s="66" t="s">
        <v>164</v>
      </c>
      <c r="C73" s="67">
        <v>110</v>
      </c>
      <c r="D73" s="68">
        <f>D60-D66</f>
        <v>555061.3670000001</v>
      </c>
      <c r="E73" s="68">
        <f>E60-E66</f>
        <v>362371</v>
      </c>
    </row>
    <row r="74" spans="1:5" ht="15.75" customHeight="1" thickBot="1">
      <c r="A74" s="53"/>
      <c r="B74" s="66" t="s">
        <v>165</v>
      </c>
      <c r="C74" s="67">
        <v>120</v>
      </c>
      <c r="D74" s="50"/>
      <c r="E74" s="50"/>
    </row>
    <row r="75" spans="1:7" ht="27" customHeight="1" thickBot="1">
      <c r="A75" s="53"/>
      <c r="B75" s="48" t="s">
        <v>166</v>
      </c>
      <c r="C75" s="49">
        <v>130</v>
      </c>
      <c r="D75" s="64">
        <f>D30+D58+D73</f>
        <v>-1034672.6329999999</v>
      </c>
      <c r="E75" s="64">
        <f>E30+E58+E73</f>
        <v>497867</v>
      </c>
      <c r="F75" s="51"/>
      <c r="G75" s="11"/>
    </row>
    <row r="76" spans="1:5" ht="41.25" customHeight="1" thickBot="1">
      <c r="A76" s="53"/>
      <c r="B76" s="48" t="s">
        <v>167</v>
      </c>
      <c r="C76" s="49">
        <v>140</v>
      </c>
      <c r="D76" s="64">
        <v>1720310</v>
      </c>
      <c r="E76" s="64">
        <v>1222443</v>
      </c>
    </row>
    <row r="77" spans="1:5" ht="39" customHeight="1" thickBot="1">
      <c r="A77" s="53"/>
      <c r="B77" s="48" t="s">
        <v>168</v>
      </c>
      <c r="C77" s="46">
        <v>150</v>
      </c>
      <c r="D77" s="81">
        <f>D76+D75</f>
        <v>685637.3670000001</v>
      </c>
      <c r="E77" s="81">
        <f>E76+E75</f>
        <v>1720310</v>
      </c>
    </row>
    <row r="78" spans="1:5" ht="14.25">
      <c r="A78" s="53"/>
      <c r="B78" s="63"/>
      <c r="C78" s="79"/>
      <c r="D78" s="82"/>
      <c r="E78" s="83"/>
    </row>
    <row r="79" spans="1:5" ht="15">
      <c r="A79" s="53"/>
      <c r="B79" s="63"/>
      <c r="C79" s="79"/>
      <c r="D79" s="80"/>
      <c r="E79" s="79"/>
    </row>
    <row r="80" spans="2:5" ht="12.75">
      <c r="B80" s="65" t="s">
        <v>63</v>
      </c>
      <c r="C80" s="79"/>
      <c r="D80" s="83"/>
      <c r="E80" s="79"/>
    </row>
    <row r="81" spans="2:5" ht="12.75">
      <c r="B81" s="71"/>
      <c r="C81" s="63"/>
      <c r="D81" s="70"/>
      <c r="E81" s="63"/>
    </row>
    <row r="82" spans="2:5" ht="12.75">
      <c r="B82" s="71" t="s">
        <v>64</v>
      </c>
      <c r="C82" s="63"/>
      <c r="D82" s="63"/>
      <c r="E82" s="63"/>
    </row>
    <row r="83" ht="18">
      <c r="B83" s="84"/>
    </row>
  </sheetData>
  <sheetProtection/>
  <mergeCells count="4">
    <mergeCell ref="B7:C7"/>
    <mergeCell ref="B12:E12"/>
    <mergeCell ref="B31:E31"/>
    <mergeCell ref="B59:E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06"/>
  <sheetViews>
    <sheetView zoomScalePageLayoutView="0" workbookViewId="0" topLeftCell="A51">
      <selection activeCell="I115" sqref="I115"/>
    </sheetView>
  </sheetViews>
  <sheetFormatPr defaultColWidth="9.00390625" defaultRowHeight="12.75" outlineLevelRow="2"/>
  <cols>
    <col min="1" max="1" width="29.25390625" style="89" customWidth="1"/>
    <col min="2" max="3" width="15.625" style="89" customWidth="1"/>
    <col min="4" max="4" width="17.625" style="89" customWidth="1"/>
    <col min="5" max="5" width="18.75390625" style="89" customWidth="1"/>
    <col min="6" max="7" width="15.625" style="89" customWidth="1"/>
    <col min="8" max="8" width="9.125" style="0" customWidth="1"/>
    <col min="9" max="9" width="19.00390625" style="0" customWidth="1"/>
    <col min="10" max="10" width="17.75390625" style="0" customWidth="1"/>
    <col min="11" max="11" width="25.00390625" style="0" customWidth="1"/>
  </cols>
  <sheetData>
    <row r="1" ht="12.75">
      <c r="A1" s="88" t="s">
        <v>195</v>
      </c>
    </row>
    <row r="2" ht="15.75">
      <c r="A2" s="90" t="s">
        <v>689</v>
      </c>
    </row>
    <row r="3" spans="1:2" ht="12.75">
      <c r="A3" s="89" t="s">
        <v>196</v>
      </c>
      <c r="B3" s="89" t="s">
        <v>197</v>
      </c>
    </row>
    <row r="4" spans="1:7" ht="12" customHeight="1">
      <c r="A4" s="397" t="s">
        <v>198</v>
      </c>
      <c r="B4" s="398" t="s">
        <v>199</v>
      </c>
      <c r="C4" s="398"/>
      <c r="D4" s="398" t="s">
        <v>200</v>
      </c>
      <c r="E4" s="398"/>
      <c r="F4" s="398" t="s">
        <v>201</v>
      </c>
      <c r="G4" s="398"/>
    </row>
    <row r="5" spans="1:7" ht="12" customHeight="1">
      <c r="A5" s="397"/>
      <c r="B5" s="341" t="s">
        <v>191</v>
      </c>
      <c r="C5" s="341" t="s">
        <v>192</v>
      </c>
      <c r="D5" s="341" t="s">
        <v>191</v>
      </c>
      <c r="E5" s="341" t="s">
        <v>192</v>
      </c>
      <c r="F5" s="341" t="s">
        <v>191</v>
      </c>
      <c r="G5" s="341" t="s">
        <v>192</v>
      </c>
    </row>
    <row r="6" spans="1:7" ht="23.25" customHeight="1">
      <c r="A6" s="342" t="s">
        <v>202</v>
      </c>
      <c r="B6" s="343">
        <v>1720310395.96</v>
      </c>
      <c r="C6" s="344"/>
      <c r="D6" s="343">
        <v>159225148912.5</v>
      </c>
      <c r="E6" s="343">
        <v>160259821818.16003</v>
      </c>
      <c r="F6" s="343">
        <v>685637490.3</v>
      </c>
      <c r="G6" s="344"/>
    </row>
    <row r="7" spans="1:7" ht="23.25" customHeight="1" outlineLevel="1">
      <c r="A7" s="345" t="s">
        <v>203</v>
      </c>
      <c r="B7" s="346">
        <v>272999.13</v>
      </c>
      <c r="C7" s="347"/>
      <c r="D7" s="346">
        <v>72364902.04</v>
      </c>
      <c r="E7" s="346">
        <v>72216334.91</v>
      </c>
      <c r="F7" s="346">
        <v>421566.26</v>
      </c>
      <c r="G7" s="347"/>
    </row>
    <row r="8" spans="1:7" ht="23.25" customHeight="1" outlineLevel="1">
      <c r="A8" s="348" t="s">
        <v>204</v>
      </c>
      <c r="B8" s="349">
        <v>19156927.68</v>
      </c>
      <c r="C8" s="350"/>
      <c r="D8" s="349">
        <v>57852391.52</v>
      </c>
      <c r="E8" s="349">
        <v>46921864.37</v>
      </c>
      <c r="F8" s="349">
        <v>30087454.83</v>
      </c>
      <c r="G8" s="350"/>
    </row>
    <row r="9" spans="1:7" ht="23.25" customHeight="1" outlineLevel="2">
      <c r="A9" s="351" t="s">
        <v>205</v>
      </c>
      <c r="B9" s="346">
        <v>19156927.68</v>
      </c>
      <c r="C9" s="347"/>
      <c r="D9" s="346">
        <v>57560000</v>
      </c>
      <c r="E9" s="346">
        <v>46629472.85</v>
      </c>
      <c r="F9" s="346">
        <v>30087454.83</v>
      </c>
      <c r="G9" s="347"/>
    </row>
    <row r="10" spans="1:7" ht="23.25" customHeight="1" outlineLevel="2">
      <c r="A10" s="351" t="s">
        <v>690</v>
      </c>
      <c r="B10" s="347"/>
      <c r="C10" s="347"/>
      <c r="D10" s="346">
        <v>292391.52</v>
      </c>
      <c r="E10" s="346">
        <v>292391.52</v>
      </c>
      <c r="F10" s="347"/>
      <c r="G10" s="347"/>
    </row>
    <row r="11" spans="1:7" ht="23.25" customHeight="1" outlineLevel="1">
      <c r="A11" s="348" t="s">
        <v>206</v>
      </c>
      <c r="B11" s="349">
        <v>1700880469.15</v>
      </c>
      <c r="C11" s="350"/>
      <c r="D11" s="349">
        <v>92988457996.84001</v>
      </c>
      <c r="E11" s="349">
        <v>94215209996.78</v>
      </c>
      <c r="F11" s="349">
        <v>474128469.21</v>
      </c>
      <c r="G11" s="350"/>
    </row>
    <row r="12" spans="1:7" ht="23.25" customHeight="1" outlineLevel="2">
      <c r="A12" s="351" t="s">
        <v>207</v>
      </c>
      <c r="B12" s="346">
        <v>1700880469.15</v>
      </c>
      <c r="C12" s="347"/>
      <c r="D12" s="346">
        <v>92988457996.84001</v>
      </c>
      <c r="E12" s="346">
        <v>94215209996.78</v>
      </c>
      <c r="F12" s="346">
        <v>474128469.21</v>
      </c>
      <c r="G12" s="347"/>
    </row>
    <row r="13" spans="1:7" ht="23.25" customHeight="1" outlineLevel="1">
      <c r="A13" s="348" t="s">
        <v>384</v>
      </c>
      <c r="B13" s="350"/>
      <c r="C13" s="350"/>
      <c r="D13" s="349">
        <v>64806373622.1</v>
      </c>
      <c r="E13" s="349">
        <v>64626373622.1</v>
      </c>
      <c r="F13" s="349">
        <v>180000000</v>
      </c>
      <c r="G13" s="350"/>
    </row>
    <row r="14" spans="1:7" ht="34.5" customHeight="1" outlineLevel="2">
      <c r="A14" s="351" t="s">
        <v>385</v>
      </c>
      <c r="B14" s="347"/>
      <c r="C14" s="347"/>
      <c r="D14" s="346">
        <v>64806373622.1</v>
      </c>
      <c r="E14" s="346">
        <v>64626373622.1</v>
      </c>
      <c r="F14" s="346">
        <v>180000000</v>
      </c>
      <c r="G14" s="347"/>
    </row>
    <row r="15" spans="1:7" ht="23.25" customHeight="1" outlineLevel="1">
      <c r="A15" s="345" t="s">
        <v>683</v>
      </c>
      <c r="B15" s="347"/>
      <c r="C15" s="347"/>
      <c r="D15" s="346">
        <v>1300100000</v>
      </c>
      <c r="E15" s="346">
        <v>1299100000</v>
      </c>
      <c r="F15" s="346">
        <v>1000000</v>
      </c>
      <c r="G15" s="347"/>
    </row>
    <row r="16" spans="1:7" ht="23.25" customHeight="1">
      <c r="A16" s="342" t="s">
        <v>684</v>
      </c>
      <c r="B16" s="344"/>
      <c r="C16" s="344"/>
      <c r="D16" s="343">
        <v>1303143788.33</v>
      </c>
      <c r="E16" s="343">
        <v>902343978.43</v>
      </c>
      <c r="F16" s="343">
        <v>400799809.9</v>
      </c>
      <c r="G16" s="344"/>
    </row>
    <row r="17" spans="1:7" ht="45.75" customHeight="1" outlineLevel="1">
      <c r="A17" s="345" t="s">
        <v>685</v>
      </c>
      <c r="B17" s="347"/>
      <c r="C17" s="347"/>
      <c r="D17" s="346">
        <v>1303143788.33</v>
      </c>
      <c r="E17" s="346">
        <v>902343978.43</v>
      </c>
      <c r="F17" s="346">
        <v>400799809.9</v>
      </c>
      <c r="G17" s="347"/>
    </row>
    <row r="18" spans="1:7" ht="23.25" customHeight="1">
      <c r="A18" s="342" t="s">
        <v>208</v>
      </c>
      <c r="B18" s="343">
        <v>218607842.51</v>
      </c>
      <c r="C18" s="344"/>
      <c r="D18" s="343">
        <v>10760661198.220001</v>
      </c>
      <c r="E18" s="343">
        <v>10647821766.640001</v>
      </c>
      <c r="F18" s="343">
        <v>331447274.09</v>
      </c>
      <c r="G18" s="344"/>
    </row>
    <row r="19" spans="1:11" ht="23.25" customHeight="1" outlineLevel="1">
      <c r="A19" s="345" t="s">
        <v>209</v>
      </c>
      <c r="B19" s="346">
        <v>17516139.74</v>
      </c>
      <c r="C19" s="347"/>
      <c r="D19" s="346">
        <v>49503555.86</v>
      </c>
      <c r="E19" s="346">
        <v>53435153.23</v>
      </c>
      <c r="F19" s="346">
        <v>13584542.37</v>
      </c>
      <c r="G19" s="347"/>
      <c r="K19" s="51">
        <f>F19+F22+F29-G34</f>
        <v>333369664.30999994</v>
      </c>
    </row>
    <row r="20" spans="1:7" ht="23.25" customHeight="1" outlineLevel="1">
      <c r="A20" s="345" t="s">
        <v>210</v>
      </c>
      <c r="B20" s="347"/>
      <c r="C20" s="347"/>
      <c r="D20" s="346">
        <v>80108</v>
      </c>
      <c r="E20" s="346">
        <v>80108</v>
      </c>
      <c r="F20" s="347"/>
      <c r="G20" s="347"/>
    </row>
    <row r="21" spans="1:11" ht="34.5" customHeight="1" outlineLevel="1">
      <c r="A21" s="348" t="s">
        <v>211</v>
      </c>
      <c r="B21" s="349">
        <v>204392277.75</v>
      </c>
      <c r="C21" s="350"/>
      <c r="D21" s="349">
        <v>10269008965.44</v>
      </c>
      <c r="E21" s="349">
        <v>10191613652.1</v>
      </c>
      <c r="F21" s="349">
        <v>281787591.09</v>
      </c>
      <c r="G21" s="350"/>
      <c r="K21" s="51">
        <f>F52+F49+F54+F59-G35</f>
        <v>551366182.78</v>
      </c>
    </row>
    <row r="22" spans="1:7" ht="34.5" customHeight="1" outlineLevel="2">
      <c r="A22" s="351" t="s">
        <v>212</v>
      </c>
      <c r="B22" s="346">
        <v>204392277.75</v>
      </c>
      <c r="C22" s="347"/>
      <c r="D22" s="346">
        <v>10269008965.44</v>
      </c>
      <c r="E22" s="346">
        <v>10191613652.1</v>
      </c>
      <c r="F22" s="346">
        <v>281787591.09</v>
      </c>
      <c r="G22" s="347"/>
    </row>
    <row r="23" spans="1:7" ht="34.5" customHeight="1" outlineLevel="1">
      <c r="A23" s="348" t="s">
        <v>213</v>
      </c>
      <c r="B23" s="349">
        <v>1351187.53</v>
      </c>
      <c r="C23" s="350"/>
      <c r="D23" s="349">
        <v>83296874.57</v>
      </c>
      <c r="E23" s="349">
        <v>82281243.85</v>
      </c>
      <c r="F23" s="349">
        <v>2366818.25</v>
      </c>
      <c r="G23" s="350"/>
    </row>
    <row r="24" spans="1:7" ht="34.5" customHeight="1" outlineLevel="2">
      <c r="A24" s="351" t="s">
        <v>214</v>
      </c>
      <c r="B24" s="346">
        <v>1200341.61</v>
      </c>
      <c r="C24" s="347"/>
      <c r="D24" s="346">
        <v>79170898.57</v>
      </c>
      <c r="E24" s="346">
        <v>78275244.56</v>
      </c>
      <c r="F24" s="346">
        <v>2095995.62</v>
      </c>
      <c r="G24" s="347"/>
    </row>
    <row r="25" spans="1:7" ht="34.5" customHeight="1" outlineLevel="2">
      <c r="A25" s="351" t="s">
        <v>215</v>
      </c>
      <c r="B25" s="346">
        <v>150845.92</v>
      </c>
      <c r="C25" s="347"/>
      <c r="D25" s="346">
        <v>3815300</v>
      </c>
      <c r="E25" s="346">
        <v>3695323.29</v>
      </c>
      <c r="F25" s="346">
        <v>270822.63</v>
      </c>
      <c r="G25" s="347"/>
    </row>
    <row r="26" spans="1:7" ht="34.5" customHeight="1" outlineLevel="2">
      <c r="A26" s="351" t="s">
        <v>216</v>
      </c>
      <c r="B26" s="347"/>
      <c r="C26" s="347"/>
      <c r="D26" s="346">
        <v>310676</v>
      </c>
      <c r="E26" s="346">
        <v>310676</v>
      </c>
      <c r="F26" s="347"/>
      <c r="G26" s="347"/>
    </row>
    <row r="27" spans="1:7" ht="23.25" customHeight="1" outlineLevel="1">
      <c r="A27" s="348" t="s">
        <v>386</v>
      </c>
      <c r="B27" s="350"/>
      <c r="C27" s="350"/>
      <c r="D27" s="349">
        <v>29008030.63</v>
      </c>
      <c r="E27" s="349">
        <v>29008030.63</v>
      </c>
      <c r="F27" s="350"/>
      <c r="G27" s="350"/>
    </row>
    <row r="28" spans="1:7" ht="34.5" customHeight="1" outlineLevel="2">
      <c r="A28" s="351" t="s">
        <v>387</v>
      </c>
      <c r="B28" s="347"/>
      <c r="C28" s="347"/>
      <c r="D28" s="346">
        <v>29008030.63</v>
      </c>
      <c r="E28" s="346">
        <v>29008030.63</v>
      </c>
      <c r="F28" s="347"/>
      <c r="G28" s="347"/>
    </row>
    <row r="29" spans="1:7" ht="23.25" customHeight="1" outlineLevel="1">
      <c r="A29" s="345" t="s">
        <v>217</v>
      </c>
      <c r="B29" s="346">
        <v>24581809.39</v>
      </c>
      <c r="C29" s="347"/>
      <c r="D29" s="346">
        <v>323298838.92</v>
      </c>
      <c r="E29" s="346">
        <v>273331202.72</v>
      </c>
      <c r="F29" s="346">
        <v>74549445.59</v>
      </c>
      <c r="G29" s="347"/>
    </row>
    <row r="30" spans="1:7" ht="23.25" customHeight="1" outlineLevel="2">
      <c r="A30" s="351" t="s">
        <v>217</v>
      </c>
      <c r="B30" s="346">
        <v>12821531.16</v>
      </c>
      <c r="C30" s="347"/>
      <c r="D30" s="346">
        <v>272168576.24</v>
      </c>
      <c r="E30" s="346">
        <v>273248483</v>
      </c>
      <c r="F30" s="346">
        <v>11741624.4</v>
      </c>
      <c r="G30" s="347"/>
    </row>
    <row r="31" spans="1:7" ht="23.25" customHeight="1" outlineLevel="2">
      <c r="A31" s="351" t="s">
        <v>368</v>
      </c>
      <c r="B31" s="346">
        <v>9372119.23</v>
      </c>
      <c r="C31" s="347"/>
      <c r="D31" s="346">
        <v>50964822.68</v>
      </c>
      <c r="E31" s="347"/>
      <c r="F31" s="346">
        <v>60336941.91</v>
      </c>
      <c r="G31" s="347"/>
    </row>
    <row r="32" spans="1:7" ht="23.25" customHeight="1" outlineLevel="2">
      <c r="A32" s="351" t="s">
        <v>218</v>
      </c>
      <c r="B32" s="346">
        <v>2388159</v>
      </c>
      <c r="C32" s="347"/>
      <c r="D32" s="346">
        <v>165440</v>
      </c>
      <c r="E32" s="346">
        <v>82719.72</v>
      </c>
      <c r="F32" s="346">
        <v>2470879.28</v>
      </c>
      <c r="G32" s="347"/>
    </row>
    <row r="33" spans="1:10" ht="23.25" customHeight="1" outlineLevel="1">
      <c r="A33" s="348" t="s">
        <v>219</v>
      </c>
      <c r="B33" s="350"/>
      <c r="C33" s="349">
        <v>29233571.9</v>
      </c>
      <c r="D33" s="349">
        <v>6464824.8</v>
      </c>
      <c r="E33" s="349">
        <v>18072376.11</v>
      </c>
      <c r="F33" s="350"/>
      <c r="G33" s="349">
        <v>40841123.21</v>
      </c>
      <c r="J33" s="51">
        <f>F19+F22+F23+F29-G33+F52+F49+F53+292851</f>
        <v>887395516.3399999</v>
      </c>
    </row>
    <row r="34" spans="1:7" ht="57" customHeight="1" outlineLevel="2">
      <c r="A34" s="351" t="s">
        <v>362</v>
      </c>
      <c r="B34" s="347"/>
      <c r="C34" s="346">
        <v>22769018.21</v>
      </c>
      <c r="D34" s="347"/>
      <c r="E34" s="346">
        <v>13782896.53</v>
      </c>
      <c r="F34" s="347"/>
      <c r="G34" s="346">
        <v>36551914.74</v>
      </c>
    </row>
    <row r="35" spans="1:7" ht="57" customHeight="1" outlineLevel="2">
      <c r="A35" s="351" t="s">
        <v>363</v>
      </c>
      <c r="B35" s="347"/>
      <c r="C35" s="346">
        <v>6464553.69</v>
      </c>
      <c r="D35" s="346">
        <v>6464824.8</v>
      </c>
      <c r="E35" s="346">
        <v>4289479.58</v>
      </c>
      <c r="F35" s="347"/>
      <c r="G35" s="346">
        <v>4289208.47</v>
      </c>
    </row>
    <row r="36" spans="1:7" ht="12" customHeight="1">
      <c r="A36" s="342" t="s">
        <v>220</v>
      </c>
      <c r="B36" s="343">
        <v>209302910.32</v>
      </c>
      <c r="C36" s="344"/>
      <c r="D36" s="343">
        <v>3029714082.4700003</v>
      </c>
      <c r="E36" s="343">
        <v>3013544628.9900002</v>
      </c>
      <c r="F36" s="343">
        <v>225472363.8</v>
      </c>
      <c r="G36" s="344"/>
    </row>
    <row r="37" spans="1:7" ht="12" customHeight="1" outlineLevel="1">
      <c r="A37" s="348" t="s">
        <v>221</v>
      </c>
      <c r="B37" s="349">
        <v>209259712.67</v>
      </c>
      <c r="C37" s="350"/>
      <c r="D37" s="349">
        <v>567980013.18</v>
      </c>
      <c r="E37" s="349">
        <v>551772612.05</v>
      </c>
      <c r="F37" s="349">
        <v>225467113.8</v>
      </c>
      <c r="G37" s="350"/>
    </row>
    <row r="38" spans="1:7" ht="12" customHeight="1" outlineLevel="2">
      <c r="A38" s="351" t="s">
        <v>222</v>
      </c>
      <c r="B38" s="346">
        <v>176712696.49</v>
      </c>
      <c r="C38" s="347"/>
      <c r="D38" s="346">
        <v>342867992.43</v>
      </c>
      <c r="E38" s="346">
        <v>335896328.13</v>
      </c>
      <c r="F38" s="346">
        <v>183684360.79</v>
      </c>
      <c r="G38" s="347"/>
    </row>
    <row r="39" spans="1:7" ht="12" customHeight="1" outlineLevel="2">
      <c r="A39" s="351" t="s">
        <v>223</v>
      </c>
      <c r="B39" s="346">
        <v>2898906.65</v>
      </c>
      <c r="C39" s="347"/>
      <c r="D39" s="346">
        <v>152872858.96</v>
      </c>
      <c r="E39" s="346">
        <v>145864751.29</v>
      </c>
      <c r="F39" s="346">
        <v>9907014.32</v>
      </c>
      <c r="G39" s="347"/>
    </row>
    <row r="40" spans="1:7" ht="12" customHeight="1" outlineLevel="2">
      <c r="A40" s="351" t="s">
        <v>224</v>
      </c>
      <c r="B40" s="346">
        <v>8900605.9</v>
      </c>
      <c r="C40" s="347"/>
      <c r="D40" s="346">
        <v>30357391.47</v>
      </c>
      <c r="E40" s="346">
        <v>27123390.83</v>
      </c>
      <c r="F40" s="346">
        <v>12134606.54</v>
      </c>
      <c r="G40" s="347"/>
    </row>
    <row r="41" spans="1:7" ht="23.25" customHeight="1" outlineLevel="2">
      <c r="A41" s="351" t="s">
        <v>225</v>
      </c>
      <c r="B41" s="346">
        <v>13471238.32</v>
      </c>
      <c r="C41" s="347"/>
      <c r="D41" s="346">
        <v>20124771.12</v>
      </c>
      <c r="E41" s="346">
        <v>20628796.72</v>
      </c>
      <c r="F41" s="346">
        <v>12967212.72</v>
      </c>
      <c r="G41" s="347"/>
    </row>
    <row r="42" spans="1:7" ht="23.25" customHeight="1" outlineLevel="2">
      <c r="A42" s="351" t="s">
        <v>226</v>
      </c>
      <c r="B42" s="346">
        <v>15917854.4</v>
      </c>
      <c r="C42" s="347"/>
      <c r="D42" s="346">
        <v>21756999.2</v>
      </c>
      <c r="E42" s="346">
        <v>19243756.29</v>
      </c>
      <c r="F42" s="346">
        <v>18431097.31</v>
      </c>
      <c r="G42" s="347"/>
    </row>
    <row r="43" spans="1:7" ht="23.25" customHeight="1" outlineLevel="2">
      <c r="A43" s="351" t="s">
        <v>227</v>
      </c>
      <c r="B43" s="352">
        <v>-8641589.09</v>
      </c>
      <c r="C43" s="347"/>
      <c r="D43" s="347"/>
      <c r="E43" s="346">
        <v>3015588.79</v>
      </c>
      <c r="F43" s="352">
        <v>-11657177.88</v>
      </c>
      <c r="G43" s="347"/>
    </row>
    <row r="44" spans="1:7" ht="12" customHeight="1" outlineLevel="1">
      <c r="A44" s="345" t="s">
        <v>228</v>
      </c>
      <c r="B44" s="347"/>
      <c r="C44" s="347"/>
      <c r="D44" s="346">
        <v>2458480201.52</v>
      </c>
      <c r="E44" s="346">
        <v>2458480201.52</v>
      </c>
      <c r="F44" s="347"/>
      <c r="G44" s="347"/>
    </row>
    <row r="45" spans="1:7" ht="23.25" customHeight="1" outlineLevel="2">
      <c r="A45" s="351" t="s">
        <v>229</v>
      </c>
      <c r="B45" s="347"/>
      <c r="C45" s="347"/>
      <c r="D45" s="346">
        <v>2458480201.52</v>
      </c>
      <c r="E45" s="346">
        <v>2458480201.52</v>
      </c>
      <c r="F45" s="347"/>
      <c r="G45" s="347"/>
    </row>
    <row r="46" spans="1:7" ht="12" customHeight="1" outlineLevel="1">
      <c r="A46" s="345" t="s">
        <v>230</v>
      </c>
      <c r="B46" s="346">
        <v>43197.65</v>
      </c>
      <c r="C46" s="347"/>
      <c r="D46" s="346">
        <v>3253867.77</v>
      </c>
      <c r="E46" s="346">
        <v>3291815.42</v>
      </c>
      <c r="F46" s="346">
        <v>5250</v>
      </c>
      <c r="G46" s="347"/>
    </row>
    <row r="47" spans="1:7" ht="12" customHeight="1">
      <c r="A47" s="342" t="s">
        <v>231</v>
      </c>
      <c r="B47" s="343">
        <v>284516047.67</v>
      </c>
      <c r="C47" s="344"/>
      <c r="D47" s="343">
        <v>919791313.76</v>
      </c>
      <c r="E47" s="343">
        <v>972241342.2</v>
      </c>
      <c r="F47" s="343">
        <v>232066019.23</v>
      </c>
      <c r="G47" s="344"/>
    </row>
    <row r="48" spans="1:10" ht="23.25" customHeight="1" outlineLevel="1">
      <c r="A48" s="345" t="s">
        <v>232</v>
      </c>
      <c r="B48" s="346">
        <v>46123063.79</v>
      </c>
      <c r="C48" s="347"/>
      <c r="D48" s="346">
        <v>48109512</v>
      </c>
      <c r="E48" s="346">
        <v>45946131</v>
      </c>
      <c r="F48" s="346">
        <v>48286444.79</v>
      </c>
      <c r="G48" s="347"/>
      <c r="J48" s="51">
        <f>F64+F87</f>
        <v>24789621409.08</v>
      </c>
    </row>
    <row r="49" spans="1:7" ht="23.25" customHeight="1" outlineLevel="1">
      <c r="A49" s="348" t="s">
        <v>233</v>
      </c>
      <c r="B49" s="349">
        <v>238253653.51</v>
      </c>
      <c r="C49" s="350"/>
      <c r="D49" s="349">
        <v>870056969.21</v>
      </c>
      <c r="E49" s="349">
        <v>924666052.2</v>
      </c>
      <c r="F49" s="349">
        <v>183644570.52</v>
      </c>
      <c r="G49" s="350"/>
    </row>
    <row r="50" spans="1:7" ht="23.25" customHeight="1" outlineLevel="2">
      <c r="A50" s="353" t="s">
        <v>233</v>
      </c>
      <c r="B50" s="349">
        <v>5743517.66</v>
      </c>
      <c r="C50" s="350"/>
      <c r="D50" s="350"/>
      <c r="E50" s="350"/>
      <c r="F50" s="349">
        <v>5743517.66</v>
      </c>
      <c r="G50" s="350"/>
    </row>
    <row r="51" spans="1:10" ht="23.25" customHeight="1" outlineLevel="2">
      <c r="A51" s="351" t="s">
        <v>234</v>
      </c>
      <c r="B51" s="346">
        <v>232510135.85</v>
      </c>
      <c r="C51" s="347"/>
      <c r="D51" s="346">
        <v>870056969.21</v>
      </c>
      <c r="E51" s="346">
        <v>924666052.2</v>
      </c>
      <c r="F51" s="346">
        <v>177901052.86</v>
      </c>
      <c r="G51" s="347"/>
      <c r="J51" s="51">
        <f>F19+F22+F29-G34</f>
        <v>333369664.30999994</v>
      </c>
    </row>
    <row r="52" spans="1:7" ht="34.5" customHeight="1" outlineLevel="1">
      <c r="A52" s="345" t="s">
        <v>235</v>
      </c>
      <c r="B52" s="346">
        <v>139330.37</v>
      </c>
      <c r="C52" s="347"/>
      <c r="D52" s="346">
        <v>1624832.55</v>
      </c>
      <c r="E52" s="346">
        <v>1629159</v>
      </c>
      <c r="F52" s="346">
        <v>135003.92</v>
      </c>
      <c r="G52" s="347"/>
    </row>
    <row r="53" spans="1:7" ht="23.25" customHeight="1">
      <c r="A53" s="342" t="s">
        <v>236</v>
      </c>
      <c r="B53" s="343">
        <v>324325957.8</v>
      </c>
      <c r="C53" s="344"/>
      <c r="D53" s="343">
        <v>3985874134.17</v>
      </c>
      <c r="E53" s="343">
        <v>3938324275.16</v>
      </c>
      <c r="F53" s="343">
        <v>371875816.81</v>
      </c>
      <c r="G53" s="344"/>
    </row>
    <row r="54" spans="1:10" ht="23.25" customHeight="1" outlineLevel="1">
      <c r="A54" s="345" t="s">
        <v>237</v>
      </c>
      <c r="B54" s="346">
        <v>316240122.91</v>
      </c>
      <c r="C54" s="347"/>
      <c r="D54" s="346">
        <v>3963554013.2</v>
      </c>
      <c r="E54" s="346">
        <v>3922140615.5000005</v>
      </c>
      <c r="F54" s="346">
        <v>357653520.61</v>
      </c>
      <c r="G54" s="347"/>
      <c r="J54" s="51">
        <f>F19+F22+F23+F29+F52+F53-G33+282391.52+F49</f>
        <v>887385056.8599999</v>
      </c>
    </row>
    <row r="55" spans="1:7" ht="23.25" customHeight="1" outlineLevel="2">
      <c r="A55" s="351" t="s">
        <v>237</v>
      </c>
      <c r="B55" s="347"/>
      <c r="C55" s="347"/>
      <c r="D55" s="346">
        <v>550965</v>
      </c>
      <c r="E55" s="346">
        <v>550965</v>
      </c>
      <c r="F55" s="347"/>
      <c r="G55" s="347"/>
    </row>
    <row r="56" spans="1:7" ht="57" customHeight="1" outlineLevel="2">
      <c r="A56" s="351" t="s">
        <v>238</v>
      </c>
      <c r="B56" s="346">
        <v>305345004.42</v>
      </c>
      <c r="C56" s="347"/>
      <c r="D56" s="346">
        <v>3808071805.4700003</v>
      </c>
      <c r="E56" s="346">
        <v>3760052768.86</v>
      </c>
      <c r="F56" s="346">
        <v>353364041.03</v>
      </c>
      <c r="G56" s="347"/>
    </row>
    <row r="57" spans="1:7" ht="57" customHeight="1" outlineLevel="2">
      <c r="A57" s="351" t="s">
        <v>239</v>
      </c>
      <c r="B57" s="346">
        <v>2461902.8</v>
      </c>
      <c r="C57" s="347"/>
      <c r="D57" s="346">
        <v>62900696.8</v>
      </c>
      <c r="E57" s="346">
        <v>65362599.6</v>
      </c>
      <c r="F57" s="347"/>
      <c r="G57" s="347"/>
    </row>
    <row r="58" spans="1:7" ht="57" customHeight="1" outlineLevel="2">
      <c r="A58" s="351" t="s">
        <v>240</v>
      </c>
      <c r="B58" s="346">
        <v>8433215.69</v>
      </c>
      <c r="C58" s="347"/>
      <c r="D58" s="346">
        <v>92030545.93</v>
      </c>
      <c r="E58" s="346">
        <v>96174282.04</v>
      </c>
      <c r="F58" s="346">
        <v>4289479.58</v>
      </c>
      <c r="G58" s="347"/>
    </row>
    <row r="59" spans="1:7" ht="23.25" customHeight="1" outlineLevel="1">
      <c r="A59" s="345" t="s">
        <v>241</v>
      </c>
      <c r="B59" s="346">
        <v>8085834.89</v>
      </c>
      <c r="C59" s="347"/>
      <c r="D59" s="346">
        <v>22285034</v>
      </c>
      <c r="E59" s="346">
        <v>16148572.69</v>
      </c>
      <c r="F59" s="346">
        <v>14222296.2</v>
      </c>
      <c r="G59" s="347"/>
    </row>
    <row r="60" spans="1:7" ht="23.25" customHeight="1" outlineLevel="1">
      <c r="A60" s="345" t="s">
        <v>691</v>
      </c>
      <c r="B60" s="347"/>
      <c r="C60" s="347"/>
      <c r="D60" s="346">
        <v>35086.97</v>
      </c>
      <c r="E60" s="346">
        <v>35086.97</v>
      </c>
      <c r="F60" s="347"/>
      <c r="G60" s="347"/>
    </row>
    <row r="61" spans="1:7" ht="23.25" customHeight="1">
      <c r="A61" s="342" t="s">
        <v>242</v>
      </c>
      <c r="B61" s="343">
        <v>110193231.46</v>
      </c>
      <c r="C61" s="344"/>
      <c r="D61" s="343">
        <v>25806365.76</v>
      </c>
      <c r="E61" s="343">
        <v>44595113.05</v>
      </c>
      <c r="F61" s="343">
        <v>91404484.17</v>
      </c>
      <c r="G61" s="344"/>
    </row>
    <row r="62" spans="1:7" ht="23.25" customHeight="1" outlineLevel="1">
      <c r="A62" s="345" t="s">
        <v>243</v>
      </c>
      <c r="B62" s="346">
        <v>110193231.46</v>
      </c>
      <c r="C62" s="347"/>
      <c r="D62" s="346">
        <v>25806365.76</v>
      </c>
      <c r="E62" s="346">
        <v>44595113.05</v>
      </c>
      <c r="F62" s="346">
        <v>91404484.17</v>
      </c>
      <c r="G62" s="347"/>
    </row>
    <row r="63" spans="1:7" ht="23.25" customHeight="1" outlineLevel="2">
      <c r="A63" s="351" t="s">
        <v>244</v>
      </c>
      <c r="B63" s="346">
        <v>110193231.46</v>
      </c>
      <c r="C63" s="347"/>
      <c r="D63" s="346">
        <v>25806365.76</v>
      </c>
      <c r="E63" s="346">
        <v>44595113.05</v>
      </c>
      <c r="F63" s="346">
        <v>91404484.17</v>
      </c>
      <c r="G63" s="347"/>
    </row>
    <row r="64" spans="1:7" ht="12" customHeight="1">
      <c r="A64" s="342" t="s">
        <v>245</v>
      </c>
      <c r="B64" s="343">
        <v>22195987908.519997</v>
      </c>
      <c r="C64" s="344"/>
      <c r="D64" s="343">
        <v>1058888461.55</v>
      </c>
      <c r="E64" s="343">
        <v>1650997865.8300002</v>
      </c>
      <c r="F64" s="343">
        <v>21603878504.24</v>
      </c>
      <c r="G64" s="344"/>
    </row>
    <row r="65" spans="1:7" ht="23.25" customHeight="1" outlineLevel="1">
      <c r="A65" s="348" t="s">
        <v>246</v>
      </c>
      <c r="B65" s="349">
        <v>115595496021.02</v>
      </c>
      <c r="C65" s="350"/>
      <c r="D65" s="349">
        <v>756294918.63</v>
      </c>
      <c r="E65" s="349">
        <v>342922482.83</v>
      </c>
      <c r="F65" s="349">
        <v>116008868456.81999</v>
      </c>
      <c r="G65" s="350"/>
    </row>
    <row r="66" spans="1:7" ht="12" customHeight="1" outlineLevel="2">
      <c r="A66" s="351" t="s">
        <v>247</v>
      </c>
      <c r="B66" s="346">
        <v>1972608577.12</v>
      </c>
      <c r="C66" s="347"/>
      <c r="D66" s="346">
        <v>5703648</v>
      </c>
      <c r="E66" s="346">
        <v>39385547.74</v>
      </c>
      <c r="F66" s="346">
        <v>1938926677.38</v>
      </c>
      <c r="G66" s="347"/>
    </row>
    <row r="67" spans="1:7" ht="23.25" customHeight="1" outlineLevel="2">
      <c r="A67" s="351" t="s">
        <v>248</v>
      </c>
      <c r="B67" s="346">
        <v>113053963683.3</v>
      </c>
      <c r="C67" s="347"/>
      <c r="D67" s="346">
        <v>552318820.63</v>
      </c>
      <c r="E67" s="346">
        <v>256848401.76</v>
      </c>
      <c r="F67" s="346">
        <v>113349434102.17</v>
      </c>
      <c r="G67" s="347"/>
    </row>
    <row r="68" spans="1:7" ht="12" customHeight="1" outlineLevel="2">
      <c r="A68" s="351" t="s">
        <v>249</v>
      </c>
      <c r="B68" s="346">
        <v>364394962.88</v>
      </c>
      <c r="C68" s="347"/>
      <c r="D68" s="346">
        <v>177974000</v>
      </c>
      <c r="E68" s="346">
        <v>12874343.26</v>
      </c>
      <c r="F68" s="346">
        <v>529494619.62</v>
      </c>
      <c r="G68" s="347"/>
    </row>
    <row r="69" spans="1:7" ht="12" customHeight="1" outlineLevel="2">
      <c r="A69" s="351" t="s">
        <v>250</v>
      </c>
      <c r="B69" s="346">
        <v>204528797.72</v>
      </c>
      <c r="C69" s="347"/>
      <c r="D69" s="346">
        <v>20298450</v>
      </c>
      <c r="E69" s="346">
        <v>33814190.07</v>
      </c>
      <c r="F69" s="346">
        <v>191013057.65</v>
      </c>
      <c r="G69" s="347"/>
    </row>
    <row r="70" spans="1:7" ht="23.25" customHeight="1" outlineLevel="1">
      <c r="A70" s="348" t="s">
        <v>251</v>
      </c>
      <c r="B70" s="350"/>
      <c r="C70" s="349">
        <v>93399508112.5</v>
      </c>
      <c r="D70" s="349">
        <v>302593542.92</v>
      </c>
      <c r="E70" s="349">
        <v>1308075383</v>
      </c>
      <c r="F70" s="350"/>
      <c r="G70" s="349">
        <v>94404989952.57999</v>
      </c>
    </row>
    <row r="71" spans="1:7" ht="23.25" customHeight="1" outlineLevel="2">
      <c r="A71" s="351" t="s">
        <v>252</v>
      </c>
      <c r="B71" s="347"/>
      <c r="C71" s="346">
        <v>1108046464.26</v>
      </c>
      <c r="D71" s="346">
        <v>29268957.47</v>
      </c>
      <c r="E71" s="346">
        <v>41107921</v>
      </c>
      <c r="F71" s="347"/>
      <c r="G71" s="346">
        <v>1119885427.79</v>
      </c>
    </row>
    <row r="72" spans="1:7" ht="34.5" customHeight="1" outlineLevel="2">
      <c r="A72" s="351" t="s">
        <v>253</v>
      </c>
      <c r="B72" s="347"/>
      <c r="C72" s="346">
        <v>92061093151.36</v>
      </c>
      <c r="D72" s="346">
        <v>229907510.61</v>
      </c>
      <c r="E72" s="346">
        <v>1197594603</v>
      </c>
      <c r="F72" s="347"/>
      <c r="G72" s="346">
        <v>93028780243.75</v>
      </c>
    </row>
    <row r="73" spans="1:7" ht="23.25" customHeight="1" outlineLevel="2">
      <c r="A73" s="351" t="s">
        <v>254</v>
      </c>
      <c r="B73" s="347"/>
      <c r="C73" s="346">
        <v>149088179.92</v>
      </c>
      <c r="D73" s="346">
        <v>12874343.26</v>
      </c>
      <c r="E73" s="346">
        <v>40531599</v>
      </c>
      <c r="F73" s="347"/>
      <c r="G73" s="346">
        <v>176745435.66</v>
      </c>
    </row>
    <row r="74" spans="1:7" ht="23.25" customHeight="1" outlineLevel="2">
      <c r="A74" s="351" t="s">
        <v>255</v>
      </c>
      <c r="B74" s="347"/>
      <c r="C74" s="346">
        <v>81280316.96</v>
      </c>
      <c r="D74" s="346">
        <v>30542731.58</v>
      </c>
      <c r="E74" s="346">
        <v>28841260</v>
      </c>
      <c r="F74" s="347"/>
      <c r="G74" s="346">
        <v>79578845.38</v>
      </c>
    </row>
    <row r="75" spans="1:7" ht="12" customHeight="1">
      <c r="A75" s="342" t="s">
        <v>256</v>
      </c>
      <c r="B75" s="343">
        <v>109033556.93</v>
      </c>
      <c r="C75" s="344"/>
      <c r="D75" s="343">
        <v>54458216</v>
      </c>
      <c r="E75" s="343">
        <v>22472618.37</v>
      </c>
      <c r="F75" s="343">
        <v>141019154.56</v>
      </c>
      <c r="G75" s="344"/>
    </row>
    <row r="76" spans="1:7" ht="23.25" customHeight="1" outlineLevel="1">
      <c r="A76" s="348" t="s">
        <v>257</v>
      </c>
      <c r="B76" s="349">
        <v>150499913.18</v>
      </c>
      <c r="C76" s="350"/>
      <c r="D76" s="349">
        <v>54458216</v>
      </c>
      <c r="E76" s="350"/>
      <c r="F76" s="349">
        <v>204958129.18</v>
      </c>
      <c r="G76" s="350"/>
    </row>
    <row r="77" spans="1:7" ht="23.25" customHeight="1" outlineLevel="2">
      <c r="A77" s="351" t="s">
        <v>258</v>
      </c>
      <c r="B77" s="346">
        <v>140333862.78</v>
      </c>
      <c r="C77" s="347"/>
      <c r="D77" s="346">
        <v>50695000</v>
      </c>
      <c r="E77" s="347"/>
      <c r="F77" s="346">
        <v>191028862.78</v>
      </c>
      <c r="G77" s="347"/>
    </row>
    <row r="78" spans="1:7" ht="12" customHeight="1" outlineLevel="2">
      <c r="A78" s="351" t="s">
        <v>259</v>
      </c>
      <c r="B78" s="346">
        <v>4272845.04</v>
      </c>
      <c r="C78" s="347"/>
      <c r="D78" s="346">
        <v>3763216</v>
      </c>
      <c r="E78" s="347"/>
      <c r="F78" s="346">
        <v>8036061.04</v>
      </c>
      <c r="G78" s="347"/>
    </row>
    <row r="79" spans="1:7" ht="23.25" customHeight="1" outlineLevel="2">
      <c r="A79" s="351" t="s">
        <v>260</v>
      </c>
      <c r="B79" s="346">
        <v>5893205.36</v>
      </c>
      <c r="C79" s="347"/>
      <c r="D79" s="347"/>
      <c r="E79" s="347"/>
      <c r="F79" s="346">
        <v>5893205.36</v>
      </c>
      <c r="G79" s="347"/>
    </row>
    <row r="80" spans="1:7" ht="23.25" customHeight="1" outlineLevel="1">
      <c r="A80" s="348" t="s">
        <v>261</v>
      </c>
      <c r="B80" s="350"/>
      <c r="C80" s="349">
        <v>41466356.25</v>
      </c>
      <c r="D80" s="350"/>
      <c r="E80" s="349">
        <v>22472618.37</v>
      </c>
      <c r="F80" s="350"/>
      <c r="G80" s="349">
        <v>63938974.62</v>
      </c>
    </row>
    <row r="81" spans="1:7" ht="23.25" customHeight="1" outlineLevel="2">
      <c r="A81" s="351" t="s">
        <v>262</v>
      </c>
      <c r="B81" s="347"/>
      <c r="C81" s="346">
        <v>37567691.25</v>
      </c>
      <c r="D81" s="347"/>
      <c r="E81" s="346">
        <v>20809618.32</v>
      </c>
      <c r="F81" s="347"/>
      <c r="G81" s="346">
        <v>58377309.57</v>
      </c>
    </row>
    <row r="82" spans="1:7" ht="23.25" customHeight="1" outlineLevel="2">
      <c r="A82" s="351" t="s">
        <v>263</v>
      </c>
      <c r="B82" s="347"/>
      <c r="C82" s="346">
        <v>1217088</v>
      </c>
      <c r="D82" s="347"/>
      <c r="E82" s="346">
        <v>637898.88</v>
      </c>
      <c r="F82" s="347"/>
      <c r="G82" s="346">
        <v>1854986.88</v>
      </c>
    </row>
    <row r="83" spans="1:7" ht="23.25" customHeight="1" outlineLevel="2">
      <c r="A83" s="351" t="s">
        <v>264</v>
      </c>
      <c r="B83" s="347"/>
      <c r="C83" s="346">
        <v>2681577</v>
      </c>
      <c r="D83" s="347"/>
      <c r="E83" s="346">
        <v>1025101.17</v>
      </c>
      <c r="F83" s="347"/>
      <c r="G83" s="346">
        <v>3706678.17</v>
      </c>
    </row>
    <row r="84" spans="1:7" ht="23.25" customHeight="1">
      <c r="A84" s="342" t="s">
        <v>265</v>
      </c>
      <c r="B84" s="343">
        <v>309258710.53</v>
      </c>
      <c r="C84" s="344"/>
      <c r="D84" s="343">
        <v>3289834228.76</v>
      </c>
      <c r="E84" s="343">
        <v>397390034.45</v>
      </c>
      <c r="F84" s="343">
        <v>3201702904.84</v>
      </c>
      <c r="G84" s="344"/>
    </row>
    <row r="85" spans="1:7" ht="23.25" customHeight="1" outlineLevel="1">
      <c r="A85" s="345" t="s">
        <v>590</v>
      </c>
      <c r="B85" s="347"/>
      <c r="C85" s="347"/>
      <c r="D85" s="346">
        <v>36120000</v>
      </c>
      <c r="E85" s="346">
        <v>20160000</v>
      </c>
      <c r="F85" s="346">
        <v>15960000</v>
      </c>
      <c r="G85" s="347"/>
    </row>
    <row r="86" spans="1:7" ht="34.5" customHeight="1" outlineLevel="2">
      <c r="A86" s="351" t="s">
        <v>649</v>
      </c>
      <c r="B86" s="347"/>
      <c r="C86" s="347"/>
      <c r="D86" s="346">
        <v>36120000</v>
      </c>
      <c r="E86" s="346">
        <v>20160000</v>
      </c>
      <c r="F86" s="346">
        <v>15960000</v>
      </c>
      <c r="G86" s="347"/>
    </row>
    <row r="87" spans="1:7" ht="23.25" customHeight="1" outlineLevel="1">
      <c r="A87" s="345" t="s">
        <v>266</v>
      </c>
      <c r="B87" s="346">
        <v>309258710.53</v>
      </c>
      <c r="C87" s="347"/>
      <c r="D87" s="346">
        <v>3253714228.76</v>
      </c>
      <c r="E87" s="346">
        <v>377230034.45</v>
      </c>
      <c r="F87" s="346">
        <v>3185742904.84</v>
      </c>
      <c r="G87" s="347"/>
    </row>
    <row r="88" spans="1:7" ht="23.25" customHeight="1" outlineLevel="2">
      <c r="A88" s="351" t="s">
        <v>267</v>
      </c>
      <c r="B88" s="346">
        <v>309258710.53</v>
      </c>
      <c r="C88" s="347"/>
      <c r="D88" s="346">
        <v>3253714228.76</v>
      </c>
      <c r="E88" s="346">
        <v>377230034.45</v>
      </c>
      <c r="F88" s="346">
        <v>3185742904.84</v>
      </c>
      <c r="G88" s="347"/>
    </row>
    <row r="89" spans="1:7" ht="23.25" customHeight="1">
      <c r="A89" s="342" t="s">
        <v>268</v>
      </c>
      <c r="B89" s="344"/>
      <c r="C89" s="343">
        <v>1019124171.36</v>
      </c>
      <c r="D89" s="343">
        <v>2321493754.88</v>
      </c>
      <c r="E89" s="343">
        <v>1424156636.4899998</v>
      </c>
      <c r="F89" s="344"/>
      <c r="G89" s="343">
        <v>121787052.97</v>
      </c>
    </row>
    <row r="90" spans="1:7" ht="45.75" customHeight="1" outlineLevel="1">
      <c r="A90" s="345" t="s">
        <v>269</v>
      </c>
      <c r="B90" s="347"/>
      <c r="C90" s="346">
        <v>20142102.14</v>
      </c>
      <c r="D90" s="346">
        <v>434744477.69</v>
      </c>
      <c r="E90" s="346">
        <v>434373136.5</v>
      </c>
      <c r="F90" s="347"/>
      <c r="G90" s="346">
        <v>19770760.95</v>
      </c>
    </row>
    <row r="91" spans="1:7" ht="23.25" customHeight="1" outlineLevel="2">
      <c r="A91" s="351" t="s">
        <v>270</v>
      </c>
      <c r="B91" s="347"/>
      <c r="C91" s="346">
        <v>9366008.67</v>
      </c>
      <c r="D91" s="346">
        <v>428420000</v>
      </c>
      <c r="E91" s="346">
        <v>428420000</v>
      </c>
      <c r="F91" s="347"/>
      <c r="G91" s="346">
        <v>9366008.67</v>
      </c>
    </row>
    <row r="92" spans="1:7" ht="23.25" customHeight="1" outlineLevel="2">
      <c r="A92" s="351" t="s">
        <v>271</v>
      </c>
      <c r="B92" s="347"/>
      <c r="C92" s="346">
        <v>10776093.47</v>
      </c>
      <c r="D92" s="346">
        <v>6324477.69</v>
      </c>
      <c r="E92" s="346">
        <v>5953136.5</v>
      </c>
      <c r="F92" s="347"/>
      <c r="G92" s="346">
        <v>10404752.28</v>
      </c>
    </row>
    <row r="93" spans="1:7" ht="34.5" customHeight="1" outlineLevel="1">
      <c r="A93" s="348" t="s">
        <v>272</v>
      </c>
      <c r="B93" s="350"/>
      <c r="C93" s="349">
        <v>998982069.22</v>
      </c>
      <c r="D93" s="349">
        <v>1886749277.19</v>
      </c>
      <c r="E93" s="349">
        <v>989783499.99</v>
      </c>
      <c r="F93" s="350"/>
      <c r="G93" s="349">
        <v>102016292.02</v>
      </c>
    </row>
    <row r="94" spans="1:7" ht="34.5" customHeight="1" outlineLevel="2">
      <c r="A94" s="353" t="s">
        <v>272</v>
      </c>
      <c r="B94" s="350"/>
      <c r="C94" s="349">
        <v>2383127.64</v>
      </c>
      <c r="D94" s="349">
        <v>2383127.64</v>
      </c>
      <c r="E94" s="350"/>
      <c r="F94" s="350"/>
      <c r="G94" s="350"/>
    </row>
    <row r="95" spans="1:7" ht="23.25" customHeight="1" outlineLevel="2">
      <c r="A95" s="351" t="s">
        <v>364</v>
      </c>
      <c r="B95" s="347"/>
      <c r="C95" s="346">
        <v>996598941.58</v>
      </c>
      <c r="D95" s="346">
        <v>1884366149.5500002</v>
      </c>
      <c r="E95" s="346">
        <v>989783499.99</v>
      </c>
      <c r="F95" s="347"/>
      <c r="G95" s="346">
        <v>102016292.02</v>
      </c>
    </row>
    <row r="96" spans="1:7" ht="12" customHeight="1">
      <c r="A96" s="342" t="s">
        <v>273</v>
      </c>
      <c r="B96" s="344"/>
      <c r="C96" s="343">
        <v>3747580.45</v>
      </c>
      <c r="D96" s="343">
        <v>1845828673</v>
      </c>
      <c r="E96" s="343">
        <v>1871098842.33</v>
      </c>
      <c r="F96" s="344"/>
      <c r="G96" s="343">
        <v>29017749.78</v>
      </c>
    </row>
    <row r="97" spans="1:7" ht="34.5" customHeight="1" outlineLevel="1">
      <c r="A97" s="345" t="s">
        <v>274</v>
      </c>
      <c r="B97" s="347"/>
      <c r="C97" s="347"/>
      <c r="D97" s="346">
        <v>337907667</v>
      </c>
      <c r="E97" s="346">
        <v>337907667</v>
      </c>
      <c r="F97" s="347"/>
      <c r="G97" s="347"/>
    </row>
    <row r="98" spans="1:7" ht="23.25" customHeight="1" outlineLevel="1">
      <c r="A98" s="345" t="s">
        <v>275</v>
      </c>
      <c r="B98" s="347"/>
      <c r="C98" s="346">
        <v>963140</v>
      </c>
      <c r="D98" s="346">
        <v>88613327.4</v>
      </c>
      <c r="E98" s="346">
        <v>103199890.6</v>
      </c>
      <c r="F98" s="347"/>
      <c r="G98" s="346">
        <v>15549703.2</v>
      </c>
    </row>
    <row r="99" spans="1:7" ht="23.25" customHeight="1" outlineLevel="1">
      <c r="A99" s="345" t="s">
        <v>276</v>
      </c>
      <c r="B99" s="347"/>
      <c r="C99" s="347"/>
      <c r="D99" s="346">
        <v>1043426785.2</v>
      </c>
      <c r="E99" s="346">
        <v>1043426786.78</v>
      </c>
      <c r="F99" s="347"/>
      <c r="G99" s="354">
        <v>1.58</v>
      </c>
    </row>
    <row r="100" spans="1:7" ht="12" customHeight="1" outlineLevel="1">
      <c r="A100" s="345" t="s">
        <v>277</v>
      </c>
      <c r="B100" s="347"/>
      <c r="C100" s="346">
        <v>1389288</v>
      </c>
      <c r="D100" s="346">
        <v>71998829</v>
      </c>
      <c r="E100" s="346">
        <v>83592469</v>
      </c>
      <c r="F100" s="347"/>
      <c r="G100" s="346">
        <v>12982928</v>
      </c>
    </row>
    <row r="101" spans="1:7" ht="12" customHeight="1" outlineLevel="1">
      <c r="A101" s="345" t="s">
        <v>278</v>
      </c>
      <c r="B101" s="347"/>
      <c r="C101" s="347"/>
      <c r="D101" s="346">
        <v>5433460</v>
      </c>
      <c r="E101" s="346">
        <v>5433460</v>
      </c>
      <c r="F101" s="347"/>
      <c r="G101" s="347"/>
    </row>
    <row r="102" spans="1:7" ht="23.25" customHeight="1" outlineLevel="1">
      <c r="A102" s="345" t="s">
        <v>279</v>
      </c>
      <c r="B102" s="347"/>
      <c r="C102" s="346">
        <v>4327</v>
      </c>
      <c r="D102" s="346">
        <v>1617607</v>
      </c>
      <c r="E102" s="346">
        <v>1637794</v>
      </c>
      <c r="F102" s="347"/>
      <c r="G102" s="346">
        <v>24514</v>
      </c>
    </row>
    <row r="103" spans="1:7" ht="12" customHeight="1" outlineLevel="1">
      <c r="A103" s="345" t="s">
        <v>280</v>
      </c>
      <c r="B103" s="347"/>
      <c r="C103" s="346">
        <v>1390825.45</v>
      </c>
      <c r="D103" s="346">
        <v>294826489</v>
      </c>
      <c r="E103" s="346">
        <v>293896266.55</v>
      </c>
      <c r="F103" s="347"/>
      <c r="G103" s="346">
        <v>460603</v>
      </c>
    </row>
    <row r="104" spans="1:7" ht="12" customHeight="1" outlineLevel="1">
      <c r="A104" s="345" t="s">
        <v>281</v>
      </c>
      <c r="B104" s="347"/>
      <c r="C104" s="347"/>
      <c r="D104" s="346">
        <v>2004508.4</v>
      </c>
      <c r="E104" s="346">
        <v>2004508.4</v>
      </c>
      <c r="F104" s="347"/>
      <c r="G104" s="347"/>
    </row>
    <row r="105" spans="1:7" ht="34.5" customHeight="1">
      <c r="A105" s="342" t="s">
        <v>282</v>
      </c>
      <c r="B105" s="344"/>
      <c r="C105" s="343">
        <v>23092639.2</v>
      </c>
      <c r="D105" s="343">
        <v>169046032.67</v>
      </c>
      <c r="E105" s="343">
        <v>171905511.17</v>
      </c>
      <c r="F105" s="344"/>
      <c r="G105" s="343">
        <v>25952117.7</v>
      </c>
    </row>
    <row r="106" spans="1:7" ht="23.25" customHeight="1" outlineLevel="1">
      <c r="A106" s="345" t="s">
        <v>283</v>
      </c>
      <c r="B106" s="347"/>
      <c r="C106" s="346">
        <v>5123294.09</v>
      </c>
      <c r="D106" s="346">
        <v>45662580.99</v>
      </c>
      <c r="E106" s="346">
        <v>46205854.79</v>
      </c>
      <c r="F106" s="347"/>
      <c r="G106" s="346">
        <v>5666567.89</v>
      </c>
    </row>
    <row r="107" spans="1:7" ht="23.25" customHeight="1" outlineLevel="1">
      <c r="A107" s="345" t="s">
        <v>284</v>
      </c>
      <c r="B107" s="347"/>
      <c r="C107" s="346">
        <v>17969345.11</v>
      </c>
      <c r="D107" s="346">
        <v>123383451.68</v>
      </c>
      <c r="E107" s="346">
        <v>125699656.38</v>
      </c>
      <c r="F107" s="347"/>
      <c r="G107" s="346">
        <v>20285549.81</v>
      </c>
    </row>
    <row r="108" spans="1:7" ht="23.25" customHeight="1">
      <c r="A108" s="342" t="s">
        <v>285</v>
      </c>
      <c r="B108" s="344"/>
      <c r="C108" s="343">
        <v>2282985925.42</v>
      </c>
      <c r="D108" s="343">
        <v>11311928117.05</v>
      </c>
      <c r="E108" s="343">
        <v>11140461002</v>
      </c>
      <c r="F108" s="344"/>
      <c r="G108" s="343">
        <v>2111518810.37</v>
      </c>
    </row>
    <row r="109" spans="1:7" ht="34.5" customHeight="1" outlineLevel="1">
      <c r="A109" s="348" t="s">
        <v>286</v>
      </c>
      <c r="B109" s="350"/>
      <c r="C109" s="349">
        <v>2119618722.12</v>
      </c>
      <c r="D109" s="349">
        <v>9511616377.8</v>
      </c>
      <c r="E109" s="349">
        <v>9262808730.889997</v>
      </c>
      <c r="F109" s="350"/>
      <c r="G109" s="349">
        <v>1870811075.2099998</v>
      </c>
    </row>
    <row r="110" spans="1:7" ht="34.5" customHeight="1" outlineLevel="2">
      <c r="A110" s="351" t="s">
        <v>287</v>
      </c>
      <c r="B110" s="347"/>
      <c r="C110" s="346">
        <v>29067852.25</v>
      </c>
      <c r="D110" s="346">
        <v>604941282.58</v>
      </c>
      <c r="E110" s="346">
        <v>605789817.47</v>
      </c>
      <c r="F110" s="347"/>
      <c r="G110" s="346">
        <v>29916387.14</v>
      </c>
    </row>
    <row r="111" spans="1:7" ht="34.5" customHeight="1" outlineLevel="2">
      <c r="A111" s="351" t="s">
        <v>288</v>
      </c>
      <c r="B111" s="347"/>
      <c r="C111" s="346">
        <v>1949796152.84</v>
      </c>
      <c r="D111" s="346">
        <v>3846711649.64</v>
      </c>
      <c r="E111" s="346">
        <v>3538737860.32</v>
      </c>
      <c r="F111" s="347"/>
      <c r="G111" s="346">
        <v>1641822363.52</v>
      </c>
    </row>
    <row r="112" spans="1:7" ht="34.5" customHeight="1" outlineLevel="2">
      <c r="A112" s="351" t="s">
        <v>289</v>
      </c>
      <c r="B112" s="347"/>
      <c r="C112" s="346">
        <v>140754717.03</v>
      </c>
      <c r="D112" s="346">
        <v>5059963445.579999</v>
      </c>
      <c r="E112" s="346">
        <v>5118281053.099999</v>
      </c>
      <c r="F112" s="347"/>
      <c r="G112" s="346">
        <v>199072324.55</v>
      </c>
    </row>
    <row r="113" spans="1:7" ht="23.25" customHeight="1" outlineLevel="1">
      <c r="A113" s="345" t="s">
        <v>290</v>
      </c>
      <c r="B113" s="347"/>
      <c r="C113" s="346">
        <v>38815311.82</v>
      </c>
      <c r="D113" s="346">
        <v>1352410527.71</v>
      </c>
      <c r="E113" s="346">
        <v>1377742298.9</v>
      </c>
      <c r="F113" s="347"/>
      <c r="G113" s="346">
        <v>64147083.01</v>
      </c>
    </row>
    <row r="114" spans="1:9" ht="23.25" customHeight="1" outlineLevel="1">
      <c r="A114" s="345" t="s">
        <v>291</v>
      </c>
      <c r="B114" s="347"/>
      <c r="C114" s="346">
        <v>78368792.12</v>
      </c>
      <c r="D114" s="346">
        <v>260717200</v>
      </c>
      <c r="E114" s="346">
        <v>296735749.55</v>
      </c>
      <c r="F114" s="347"/>
      <c r="G114" s="346">
        <v>114387341.67</v>
      </c>
      <c r="I114" s="51">
        <f>G105+G113</f>
        <v>90099200.71</v>
      </c>
    </row>
    <row r="115" spans="1:7" ht="23.25" customHeight="1" outlineLevel="2">
      <c r="A115" s="351" t="s">
        <v>360</v>
      </c>
      <c r="B115" s="347"/>
      <c r="C115" s="346">
        <v>78368792.12</v>
      </c>
      <c r="D115" s="346">
        <v>260717200</v>
      </c>
      <c r="E115" s="346">
        <v>296735749.55</v>
      </c>
      <c r="F115" s="347"/>
      <c r="G115" s="346">
        <v>114387341.67</v>
      </c>
    </row>
    <row r="116" spans="1:7" ht="23.25" customHeight="1" outlineLevel="1">
      <c r="A116" s="348" t="s">
        <v>292</v>
      </c>
      <c r="B116" s="350"/>
      <c r="C116" s="349">
        <v>46183099.36</v>
      </c>
      <c r="D116" s="349">
        <v>187184011.54</v>
      </c>
      <c r="E116" s="349">
        <v>203174222.66</v>
      </c>
      <c r="F116" s="350"/>
      <c r="G116" s="349">
        <v>62173310.48</v>
      </c>
    </row>
    <row r="117" spans="1:7" ht="34.5" customHeight="1" outlineLevel="2">
      <c r="A117" s="351" t="s">
        <v>293</v>
      </c>
      <c r="B117" s="347"/>
      <c r="C117" s="346">
        <v>2421554.84</v>
      </c>
      <c r="D117" s="346">
        <v>3872974.25</v>
      </c>
      <c r="E117" s="346">
        <v>3535896.3</v>
      </c>
      <c r="F117" s="347"/>
      <c r="G117" s="346">
        <v>2084476.89</v>
      </c>
    </row>
    <row r="118" spans="1:7" ht="23.25" customHeight="1" outlineLevel="2">
      <c r="A118" s="351" t="s">
        <v>294</v>
      </c>
      <c r="B118" s="347"/>
      <c r="C118" s="346">
        <v>1275220</v>
      </c>
      <c r="D118" s="346">
        <v>11710488.8</v>
      </c>
      <c r="E118" s="346">
        <v>11804508.8</v>
      </c>
      <c r="F118" s="347"/>
      <c r="G118" s="346">
        <v>1369240</v>
      </c>
    </row>
    <row r="119" spans="1:7" ht="23.25" customHeight="1" outlineLevel="2">
      <c r="A119" s="351" t="s">
        <v>295</v>
      </c>
      <c r="B119" s="347"/>
      <c r="C119" s="346">
        <v>653962</v>
      </c>
      <c r="D119" s="346">
        <v>11054155.76</v>
      </c>
      <c r="E119" s="346">
        <v>11555034.91</v>
      </c>
      <c r="F119" s="347"/>
      <c r="G119" s="346">
        <v>1154841.15</v>
      </c>
    </row>
    <row r="120" spans="1:7" ht="23.25" customHeight="1" outlineLevel="2">
      <c r="A120" s="351" t="s">
        <v>296</v>
      </c>
      <c r="B120" s="347"/>
      <c r="C120" s="346">
        <v>39028331.16</v>
      </c>
      <c r="D120" s="346">
        <v>136320129.73</v>
      </c>
      <c r="E120" s="346">
        <v>151804921.55</v>
      </c>
      <c r="F120" s="347"/>
      <c r="G120" s="346">
        <v>54513122.98</v>
      </c>
    </row>
    <row r="121" spans="1:7" ht="23.25" customHeight="1" outlineLevel="2">
      <c r="A121" s="351" t="s">
        <v>297</v>
      </c>
      <c r="B121" s="347"/>
      <c r="C121" s="346">
        <v>2118998.36</v>
      </c>
      <c r="D121" s="346">
        <v>20981848</v>
      </c>
      <c r="E121" s="346">
        <v>21280797.1</v>
      </c>
      <c r="F121" s="347"/>
      <c r="G121" s="346">
        <v>2417947.46</v>
      </c>
    </row>
    <row r="122" spans="1:7" ht="23.25" customHeight="1" outlineLevel="2">
      <c r="A122" s="351" t="s">
        <v>298</v>
      </c>
      <c r="B122" s="347"/>
      <c r="C122" s="346">
        <v>685033</v>
      </c>
      <c r="D122" s="346">
        <v>3244415</v>
      </c>
      <c r="E122" s="346">
        <v>3193064</v>
      </c>
      <c r="F122" s="347"/>
      <c r="G122" s="346">
        <v>633682</v>
      </c>
    </row>
    <row r="123" spans="1:7" ht="23.25" customHeight="1">
      <c r="A123" s="342" t="s">
        <v>299</v>
      </c>
      <c r="B123" s="344"/>
      <c r="C123" s="343">
        <v>112982721</v>
      </c>
      <c r="D123" s="344"/>
      <c r="E123" s="343">
        <v>29911783</v>
      </c>
      <c r="F123" s="344"/>
      <c r="G123" s="343">
        <v>142894504</v>
      </c>
    </row>
    <row r="124" spans="1:7" ht="34.5" customHeight="1" outlineLevel="1">
      <c r="A124" s="345" t="s">
        <v>300</v>
      </c>
      <c r="B124" s="347"/>
      <c r="C124" s="346">
        <v>112982721</v>
      </c>
      <c r="D124" s="347"/>
      <c r="E124" s="346">
        <v>29911783</v>
      </c>
      <c r="F124" s="347"/>
      <c r="G124" s="346">
        <v>142894504</v>
      </c>
    </row>
    <row r="125" spans="1:9" ht="34.5" customHeight="1" outlineLevel="2">
      <c r="A125" s="351" t="s">
        <v>361</v>
      </c>
      <c r="B125" s="347"/>
      <c r="C125" s="346">
        <v>112982721</v>
      </c>
      <c r="D125" s="347"/>
      <c r="E125" s="346">
        <v>29911783</v>
      </c>
      <c r="F125" s="347"/>
      <c r="G125" s="346">
        <v>142894504</v>
      </c>
      <c r="I125" s="51">
        <f>G125-2848000</f>
        <v>140046504</v>
      </c>
    </row>
    <row r="126" spans="1:10" ht="23.25" customHeight="1">
      <c r="A126" s="342" t="s">
        <v>301</v>
      </c>
      <c r="B126" s="344"/>
      <c r="C126" s="343">
        <v>692541251.43</v>
      </c>
      <c r="D126" s="343">
        <v>8546800591.610001</v>
      </c>
      <c r="E126" s="343">
        <v>8531246043.88</v>
      </c>
      <c r="F126" s="344"/>
      <c r="G126" s="343">
        <v>676986703.7</v>
      </c>
      <c r="J126" s="51">
        <f>G93+G114</f>
        <v>216403633.69</v>
      </c>
    </row>
    <row r="127" spans="1:7" ht="23.25" customHeight="1" outlineLevel="1">
      <c r="A127" s="345" t="s">
        <v>302</v>
      </c>
      <c r="B127" s="347"/>
      <c r="C127" s="346">
        <v>692541251.43</v>
      </c>
      <c r="D127" s="346">
        <v>8546800591.610001</v>
      </c>
      <c r="E127" s="346">
        <v>8531246043.88</v>
      </c>
      <c r="F127" s="347"/>
      <c r="G127" s="346">
        <v>676986703.7</v>
      </c>
    </row>
    <row r="128" spans="1:7" ht="23.25" customHeight="1" outlineLevel="2">
      <c r="A128" s="351" t="s">
        <v>302</v>
      </c>
      <c r="B128" s="347"/>
      <c r="C128" s="346">
        <v>20000</v>
      </c>
      <c r="D128" s="347"/>
      <c r="E128" s="347"/>
      <c r="F128" s="347"/>
      <c r="G128" s="346">
        <v>20000</v>
      </c>
    </row>
    <row r="129" spans="1:7" ht="45.75" customHeight="1" outlineLevel="2">
      <c r="A129" s="351" t="s">
        <v>303</v>
      </c>
      <c r="B129" s="347"/>
      <c r="C129" s="346">
        <v>666969945.83</v>
      </c>
      <c r="D129" s="346">
        <v>8290636332.9</v>
      </c>
      <c r="E129" s="346">
        <v>8267314760.860001</v>
      </c>
      <c r="F129" s="347"/>
      <c r="G129" s="346">
        <v>643648373.79</v>
      </c>
    </row>
    <row r="130" spans="1:7" ht="12" customHeight="1" outlineLevel="2">
      <c r="A130" s="351" t="s">
        <v>304</v>
      </c>
      <c r="B130" s="347"/>
      <c r="C130" s="346">
        <v>25551305.6</v>
      </c>
      <c r="D130" s="346">
        <v>256164258.71</v>
      </c>
      <c r="E130" s="346">
        <v>263931283.02</v>
      </c>
      <c r="F130" s="347"/>
      <c r="G130" s="346">
        <v>33318329.91</v>
      </c>
    </row>
    <row r="131" spans="1:7" ht="23.25" customHeight="1">
      <c r="A131" s="342" t="s">
        <v>305</v>
      </c>
      <c r="B131" s="344"/>
      <c r="C131" s="343">
        <v>3970838197.16</v>
      </c>
      <c r="D131" s="343">
        <v>2876644998.52</v>
      </c>
      <c r="E131" s="343">
        <v>5223113222.4</v>
      </c>
      <c r="F131" s="344"/>
      <c r="G131" s="343">
        <v>6317306421.039999</v>
      </c>
    </row>
    <row r="132" spans="1:10" ht="57" customHeight="1" outlineLevel="1">
      <c r="A132" s="345" t="s">
        <v>306</v>
      </c>
      <c r="B132" s="347"/>
      <c r="C132" s="346">
        <v>2262679428.15</v>
      </c>
      <c r="D132" s="346">
        <v>2711479222.4</v>
      </c>
      <c r="E132" s="346">
        <v>5125075926</v>
      </c>
      <c r="F132" s="347"/>
      <c r="G132" s="346">
        <v>4676276131.750001</v>
      </c>
      <c r="J132" s="51">
        <f>G90+G109+G116+G127+292851</f>
        <v>2630034701.34</v>
      </c>
    </row>
    <row r="133" spans="1:7" ht="23.25" customHeight="1" outlineLevel="2">
      <c r="A133" s="351" t="s">
        <v>307</v>
      </c>
      <c r="B133" s="347"/>
      <c r="C133" s="346">
        <v>582679428.15</v>
      </c>
      <c r="D133" s="346">
        <v>604729222.4</v>
      </c>
      <c r="E133" s="346">
        <v>646105926</v>
      </c>
      <c r="F133" s="347"/>
      <c r="G133" s="346">
        <v>624056131.75</v>
      </c>
    </row>
    <row r="134" spans="1:7" ht="12" customHeight="1" outlineLevel="2">
      <c r="A134" s="351" t="s">
        <v>308</v>
      </c>
      <c r="B134" s="347"/>
      <c r="C134" s="346">
        <v>1680000000</v>
      </c>
      <c r="D134" s="346">
        <v>2106750000</v>
      </c>
      <c r="E134" s="346">
        <v>4478970000</v>
      </c>
      <c r="F134" s="347"/>
      <c r="G134" s="346">
        <v>4052220000</v>
      </c>
    </row>
    <row r="135" spans="1:7" ht="23.25" customHeight="1" outlineLevel="1">
      <c r="A135" s="348" t="s">
        <v>309</v>
      </c>
      <c r="B135" s="350"/>
      <c r="C135" s="349">
        <v>1708158769.01</v>
      </c>
      <c r="D135" s="349">
        <v>165165776.12</v>
      </c>
      <c r="E135" s="349">
        <v>98037296.4</v>
      </c>
      <c r="F135" s="350"/>
      <c r="G135" s="349">
        <v>1641030289.29</v>
      </c>
    </row>
    <row r="136" spans="1:7" ht="23.25" customHeight="1" outlineLevel="2">
      <c r="A136" s="351" t="s">
        <v>310</v>
      </c>
      <c r="B136" s="347"/>
      <c r="C136" s="346">
        <v>43999948</v>
      </c>
      <c r="D136" s="347"/>
      <c r="E136" s="347"/>
      <c r="F136" s="347"/>
      <c r="G136" s="346">
        <v>43999948</v>
      </c>
    </row>
    <row r="137" spans="1:7" ht="12" customHeight="1" outlineLevel="2">
      <c r="A137" s="351" t="s">
        <v>311</v>
      </c>
      <c r="B137" s="347"/>
      <c r="C137" s="346">
        <v>1664158821.01</v>
      </c>
      <c r="D137" s="346">
        <v>165165776.12</v>
      </c>
      <c r="E137" s="346">
        <v>98037296.4</v>
      </c>
      <c r="F137" s="347"/>
      <c r="G137" s="346">
        <v>1597030341.29</v>
      </c>
    </row>
    <row r="138" spans="1:7" ht="23.25" customHeight="1">
      <c r="A138" s="342" t="s">
        <v>312</v>
      </c>
      <c r="B138" s="344"/>
      <c r="C138" s="343">
        <v>57306299</v>
      </c>
      <c r="D138" s="344"/>
      <c r="E138" s="343">
        <v>3242476</v>
      </c>
      <c r="F138" s="344"/>
      <c r="G138" s="343">
        <v>60548775</v>
      </c>
    </row>
    <row r="139" spans="1:7" ht="34.5" customHeight="1" outlineLevel="1">
      <c r="A139" s="345" t="s">
        <v>313</v>
      </c>
      <c r="B139" s="347"/>
      <c r="C139" s="346">
        <v>57306299</v>
      </c>
      <c r="D139" s="347"/>
      <c r="E139" s="346">
        <v>3242476</v>
      </c>
      <c r="F139" s="347"/>
      <c r="G139" s="346">
        <v>60548775</v>
      </c>
    </row>
    <row r="140" spans="1:7" ht="23.25" customHeight="1">
      <c r="A140" s="342" t="s">
        <v>314</v>
      </c>
      <c r="B140" s="344"/>
      <c r="C140" s="343">
        <v>2865932800</v>
      </c>
      <c r="D140" s="344"/>
      <c r="E140" s="355">
        <v>-28388400</v>
      </c>
      <c r="F140" s="344"/>
      <c r="G140" s="343">
        <v>2837544400</v>
      </c>
    </row>
    <row r="141" spans="1:7" ht="45.75" customHeight="1" outlineLevel="1">
      <c r="A141" s="345" t="s">
        <v>315</v>
      </c>
      <c r="B141" s="347"/>
      <c r="C141" s="346">
        <v>2865932800</v>
      </c>
      <c r="D141" s="347"/>
      <c r="E141" s="352">
        <v>-28388400</v>
      </c>
      <c r="F141" s="347"/>
      <c r="G141" s="346">
        <v>2837544400</v>
      </c>
    </row>
    <row r="142" spans="1:7" ht="12" customHeight="1">
      <c r="A142" s="342" t="s">
        <v>316</v>
      </c>
      <c r="B142" s="344"/>
      <c r="C142" s="343">
        <v>1188015776.5</v>
      </c>
      <c r="D142" s="344"/>
      <c r="E142" s="344"/>
      <c r="F142" s="344"/>
      <c r="G142" s="343">
        <v>1188015776.5</v>
      </c>
    </row>
    <row r="143" spans="1:7" ht="12" customHeight="1" outlineLevel="1">
      <c r="A143" s="345" t="s">
        <v>317</v>
      </c>
      <c r="B143" s="347"/>
      <c r="C143" s="346">
        <v>12319172</v>
      </c>
      <c r="D143" s="347"/>
      <c r="E143" s="347"/>
      <c r="F143" s="347"/>
      <c r="G143" s="346">
        <v>12319172</v>
      </c>
    </row>
    <row r="144" spans="1:7" ht="12" customHeight="1" outlineLevel="1">
      <c r="A144" s="345" t="s">
        <v>318</v>
      </c>
      <c r="B144" s="347"/>
      <c r="C144" s="346">
        <v>1175696604.5</v>
      </c>
      <c r="D144" s="347"/>
      <c r="E144" s="347"/>
      <c r="F144" s="347"/>
      <c r="G144" s="346">
        <v>1175696604.5</v>
      </c>
    </row>
    <row r="145" spans="1:7" ht="23.25" customHeight="1">
      <c r="A145" s="342" t="s">
        <v>319</v>
      </c>
      <c r="B145" s="344"/>
      <c r="C145" s="355">
        <v>-38923576.4</v>
      </c>
      <c r="D145" s="344"/>
      <c r="E145" s="344"/>
      <c r="F145" s="344"/>
      <c r="G145" s="355">
        <v>-38923576.4</v>
      </c>
    </row>
    <row r="146" spans="1:7" ht="23.25" customHeight="1" outlineLevel="1">
      <c r="A146" s="345" t="s">
        <v>320</v>
      </c>
      <c r="B146" s="347"/>
      <c r="C146" s="352">
        <v>-38923576.4</v>
      </c>
      <c r="D146" s="347"/>
      <c r="E146" s="347"/>
      <c r="F146" s="347"/>
      <c r="G146" s="352">
        <v>-38923576.4</v>
      </c>
    </row>
    <row r="147" spans="1:7" ht="12" customHeight="1">
      <c r="A147" s="342" t="s">
        <v>365</v>
      </c>
      <c r="B147" s="344"/>
      <c r="C147" s="343">
        <v>524746000</v>
      </c>
      <c r="D147" s="344"/>
      <c r="E147" s="344"/>
      <c r="F147" s="344"/>
      <c r="G147" s="343">
        <v>524746000</v>
      </c>
    </row>
    <row r="148" spans="1:7" ht="12" customHeight="1" outlineLevel="1">
      <c r="A148" s="345" t="s">
        <v>366</v>
      </c>
      <c r="B148" s="347"/>
      <c r="C148" s="346">
        <v>524746000</v>
      </c>
      <c r="D148" s="347"/>
      <c r="E148" s="347"/>
      <c r="F148" s="347"/>
      <c r="G148" s="346">
        <v>524746000</v>
      </c>
    </row>
    <row r="149" spans="1:7" ht="12" customHeight="1">
      <c r="A149" s="342" t="s">
        <v>321</v>
      </c>
      <c r="B149" s="344"/>
      <c r="C149" s="343">
        <v>7754455499.2</v>
      </c>
      <c r="D149" s="343">
        <v>700938918.92</v>
      </c>
      <c r="E149" s="344"/>
      <c r="F149" s="344"/>
      <c r="G149" s="343">
        <v>7053516580.280001</v>
      </c>
    </row>
    <row r="150" spans="1:7" ht="34.5" customHeight="1" outlineLevel="1">
      <c r="A150" s="345" t="s">
        <v>322</v>
      </c>
      <c r="B150" s="347"/>
      <c r="C150" s="346">
        <v>7754455499.2</v>
      </c>
      <c r="D150" s="346">
        <v>700938918.92</v>
      </c>
      <c r="E150" s="347"/>
      <c r="F150" s="347"/>
      <c r="G150" s="346">
        <v>7053516580.280001</v>
      </c>
    </row>
    <row r="151" spans="1:7" ht="23.25" customHeight="1">
      <c r="A151" s="342" t="s">
        <v>323</v>
      </c>
      <c r="B151" s="344"/>
      <c r="C151" s="343">
        <v>5024691277.38</v>
      </c>
      <c r="D151" s="343">
        <v>1585046259.47</v>
      </c>
      <c r="E151" s="343">
        <v>2794747489.0899997</v>
      </c>
      <c r="F151" s="344"/>
      <c r="G151" s="343">
        <v>6234392507</v>
      </c>
    </row>
    <row r="152" spans="1:7" ht="34.5" customHeight="1" outlineLevel="1">
      <c r="A152" s="345" t="s">
        <v>324</v>
      </c>
      <c r="B152" s="347"/>
      <c r="C152" s="346">
        <v>1156626259.47</v>
      </c>
      <c r="D152" s="346">
        <v>1156626259.47</v>
      </c>
      <c r="E152" s="346">
        <v>954555684.62</v>
      </c>
      <c r="F152" s="347"/>
      <c r="G152" s="346">
        <v>954555684.62</v>
      </c>
    </row>
    <row r="153" spans="1:7" ht="34.5" customHeight="1" outlineLevel="1">
      <c r="A153" s="345" t="s">
        <v>367</v>
      </c>
      <c r="B153" s="347"/>
      <c r="C153" s="346">
        <v>3868065017.9100003</v>
      </c>
      <c r="D153" s="346">
        <v>428420000</v>
      </c>
      <c r="E153" s="346">
        <v>1840191804.47</v>
      </c>
      <c r="F153" s="347"/>
      <c r="G153" s="346">
        <v>5279836822.38</v>
      </c>
    </row>
    <row r="154" spans="1:7" ht="23.25" customHeight="1">
      <c r="A154" s="342" t="s">
        <v>325</v>
      </c>
      <c r="B154" s="344"/>
      <c r="C154" s="344"/>
      <c r="D154" s="343">
        <v>8874064001.51</v>
      </c>
      <c r="E154" s="343">
        <v>8874064001.51</v>
      </c>
      <c r="F154" s="344"/>
      <c r="G154" s="344"/>
    </row>
    <row r="155" spans="1:7" ht="23.25" customHeight="1" outlineLevel="1">
      <c r="A155" s="345" t="s">
        <v>326</v>
      </c>
      <c r="B155" s="347"/>
      <c r="C155" s="347"/>
      <c r="D155" s="346">
        <v>8874064001.51</v>
      </c>
      <c r="E155" s="346">
        <v>8874064001.51</v>
      </c>
      <c r="F155" s="347"/>
      <c r="G155" s="347"/>
    </row>
    <row r="156" spans="1:7" ht="23.25" customHeight="1">
      <c r="A156" s="342" t="s">
        <v>327</v>
      </c>
      <c r="B156" s="344"/>
      <c r="C156" s="344"/>
      <c r="D156" s="343">
        <v>8655210270.1</v>
      </c>
      <c r="E156" s="343">
        <v>8655210270.1</v>
      </c>
      <c r="F156" s="344"/>
      <c r="G156" s="344"/>
    </row>
    <row r="157" spans="1:7" ht="23.25" customHeight="1" outlineLevel="1">
      <c r="A157" s="345" t="s">
        <v>328</v>
      </c>
      <c r="B157" s="347"/>
      <c r="C157" s="347"/>
      <c r="D157" s="346">
        <v>8655210270.1</v>
      </c>
      <c r="E157" s="346">
        <v>8655210270.1</v>
      </c>
      <c r="F157" s="347"/>
      <c r="G157" s="347"/>
    </row>
    <row r="158" spans="1:7" ht="23.25" customHeight="1" outlineLevel="2">
      <c r="A158" s="351" t="s">
        <v>328</v>
      </c>
      <c r="B158" s="347"/>
      <c r="C158" s="347"/>
      <c r="D158" s="346">
        <v>378448429.18</v>
      </c>
      <c r="E158" s="346">
        <v>378448429.18</v>
      </c>
      <c r="F158" s="347"/>
      <c r="G158" s="347"/>
    </row>
    <row r="159" spans="1:7" ht="23.25" customHeight="1" outlineLevel="2">
      <c r="A159" s="351" t="s">
        <v>329</v>
      </c>
      <c r="B159" s="347"/>
      <c r="C159" s="347"/>
      <c r="D159" s="346">
        <v>8276761840.92</v>
      </c>
      <c r="E159" s="346">
        <v>8276761840.92</v>
      </c>
      <c r="F159" s="347"/>
      <c r="G159" s="347"/>
    </row>
    <row r="160" spans="1:7" ht="12" customHeight="1">
      <c r="A160" s="342" t="s">
        <v>378</v>
      </c>
      <c r="B160" s="344"/>
      <c r="C160" s="344"/>
      <c r="D160" s="343">
        <v>41867112.64</v>
      </c>
      <c r="E160" s="343">
        <v>41867112.64</v>
      </c>
      <c r="F160" s="344"/>
      <c r="G160" s="344"/>
    </row>
    <row r="161" spans="1:7" ht="23.25" customHeight="1" outlineLevel="1">
      <c r="A161" s="348" t="s">
        <v>379</v>
      </c>
      <c r="B161" s="350"/>
      <c r="C161" s="350"/>
      <c r="D161" s="349">
        <v>41867112.64</v>
      </c>
      <c r="E161" s="349">
        <v>41867112.64</v>
      </c>
      <c r="F161" s="350"/>
      <c r="G161" s="350"/>
    </row>
    <row r="162" spans="1:7" ht="45.75" customHeight="1" outlineLevel="2">
      <c r="A162" s="351" t="s">
        <v>380</v>
      </c>
      <c r="B162" s="347"/>
      <c r="C162" s="347"/>
      <c r="D162" s="346">
        <v>41867112.64</v>
      </c>
      <c r="E162" s="346">
        <v>41867112.64</v>
      </c>
      <c r="F162" s="347"/>
      <c r="G162" s="347"/>
    </row>
    <row r="163" spans="1:7" ht="12" customHeight="1">
      <c r="A163" s="342" t="s">
        <v>330</v>
      </c>
      <c r="B163" s="344"/>
      <c r="C163" s="344"/>
      <c r="D163" s="343">
        <v>176986618.77</v>
      </c>
      <c r="E163" s="343">
        <v>176986618.77</v>
      </c>
      <c r="F163" s="344"/>
      <c r="G163" s="344"/>
    </row>
    <row r="164" spans="1:7" ht="23.25" customHeight="1" outlineLevel="1">
      <c r="A164" s="345" t="s">
        <v>388</v>
      </c>
      <c r="B164" s="347"/>
      <c r="C164" s="347"/>
      <c r="D164" s="346">
        <v>598968.01</v>
      </c>
      <c r="E164" s="346">
        <v>598968.01</v>
      </c>
      <c r="F164" s="347"/>
      <c r="G164" s="347"/>
    </row>
    <row r="165" spans="1:7" ht="12" customHeight="1" outlineLevel="1">
      <c r="A165" s="345" t="s">
        <v>331</v>
      </c>
      <c r="B165" s="347"/>
      <c r="C165" s="347"/>
      <c r="D165" s="346">
        <v>176387650.76</v>
      </c>
      <c r="E165" s="346">
        <v>176387650.76</v>
      </c>
      <c r="F165" s="347"/>
      <c r="G165" s="347"/>
    </row>
    <row r="166" spans="1:7" ht="23.25" customHeight="1">
      <c r="A166" s="342" t="s">
        <v>332</v>
      </c>
      <c r="B166" s="344"/>
      <c r="C166" s="344"/>
      <c r="D166" s="343">
        <v>100634655.34</v>
      </c>
      <c r="E166" s="343">
        <v>100634655.34</v>
      </c>
      <c r="F166" s="344"/>
      <c r="G166" s="344"/>
    </row>
    <row r="167" spans="1:7" ht="23.25" customHeight="1" outlineLevel="1">
      <c r="A167" s="345" t="s">
        <v>333</v>
      </c>
      <c r="B167" s="347"/>
      <c r="C167" s="347"/>
      <c r="D167" s="346">
        <v>100634655.34</v>
      </c>
      <c r="E167" s="346">
        <v>100634655.34</v>
      </c>
      <c r="F167" s="347"/>
      <c r="G167" s="347"/>
    </row>
    <row r="168" spans="1:7" ht="23.25" customHeight="1">
      <c r="A168" s="342" t="s">
        <v>334</v>
      </c>
      <c r="B168" s="344"/>
      <c r="C168" s="344"/>
      <c r="D168" s="343">
        <v>879081293.85</v>
      </c>
      <c r="E168" s="343">
        <v>879081293.85</v>
      </c>
      <c r="F168" s="344"/>
      <c r="G168" s="344"/>
    </row>
    <row r="169" spans="1:7" ht="23.25" customHeight="1" outlineLevel="1">
      <c r="A169" s="345" t="s">
        <v>335</v>
      </c>
      <c r="B169" s="347"/>
      <c r="C169" s="347"/>
      <c r="D169" s="346">
        <v>504131103.78</v>
      </c>
      <c r="E169" s="346">
        <v>504131103.78</v>
      </c>
      <c r="F169" s="347"/>
      <c r="G169" s="347"/>
    </row>
    <row r="170" spans="1:7" ht="34.5" customHeight="1" outlineLevel="1">
      <c r="A170" s="345" t="s">
        <v>336</v>
      </c>
      <c r="B170" s="347"/>
      <c r="C170" s="347"/>
      <c r="D170" s="346">
        <v>354052503.31</v>
      </c>
      <c r="E170" s="346">
        <v>354052503.31</v>
      </c>
      <c r="F170" s="347"/>
      <c r="G170" s="347"/>
    </row>
    <row r="171" spans="1:7" ht="34.5" customHeight="1" outlineLevel="1">
      <c r="A171" s="345" t="s">
        <v>337</v>
      </c>
      <c r="B171" s="347"/>
      <c r="C171" s="347"/>
      <c r="D171" s="346">
        <v>20897686.76</v>
      </c>
      <c r="E171" s="346">
        <v>20897686.76</v>
      </c>
      <c r="F171" s="347"/>
      <c r="G171" s="347"/>
    </row>
    <row r="172" spans="1:7" ht="23.25" customHeight="1">
      <c r="A172" s="342" t="s">
        <v>338</v>
      </c>
      <c r="B172" s="344"/>
      <c r="C172" s="344"/>
      <c r="D172" s="343">
        <v>293993837.41</v>
      </c>
      <c r="E172" s="343">
        <v>293993837.41</v>
      </c>
      <c r="F172" s="344"/>
      <c r="G172" s="344"/>
    </row>
    <row r="173" spans="1:7" ht="23.25" customHeight="1" outlineLevel="1">
      <c r="A173" s="348" t="s">
        <v>339</v>
      </c>
      <c r="B173" s="350"/>
      <c r="C173" s="350"/>
      <c r="D173" s="349">
        <v>144431449.41</v>
      </c>
      <c r="E173" s="349">
        <v>144431449.41</v>
      </c>
      <c r="F173" s="350"/>
      <c r="G173" s="350"/>
    </row>
    <row r="174" spans="1:7" ht="45.75" customHeight="1" outlineLevel="2">
      <c r="A174" s="351" t="s">
        <v>340</v>
      </c>
      <c r="B174" s="347"/>
      <c r="C174" s="347"/>
      <c r="D174" s="346">
        <v>144431449.41</v>
      </c>
      <c r="E174" s="346">
        <v>144431449.41</v>
      </c>
      <c r="F174" s="347"/>
      <c r="G174" s="347"/>
    </row>
    <row r="175" spans="1:7" ht="23.25" customHeight="1" outlineLevel="1">
      <c r="A175" s="345" t="s">
        <v>341</v>
      </c>
      <c r="B175" s="347"/>
      <c r="C175" s="347"/>
      <c r="D175" s="346">
        <v>149562388</v>
      </c>
      <c r="E175" s="346">
        <v>149562388</v>
      </c>
      <c r="F175" s="347"/>
      <c r="G175" s="347"/>
    </row>
    <row r="176" spans="1:7" ht="12" customHeight="1">
      <c r="A176" s="342" t="s">
        <v>342</v>
      </c>
      <c r="B176" s="344"/>
      <c r="C176" s="344"/>
      <c r="D176" s="343">
        <v>26110016.75</v>
      </c>
      <c r="E176" s="343">
        <v>26110016.75</v>
      </c>
      <c r="F176" s="344"/>
      <c r="G176" s="344"/>
    </row>
    <row r="177" spans="1:7" ht="23.25" customHeight="1" outlineLevel="1">
      <c r="A177" s="348" t="s">
        <v>343</v>
      </c>
      <c r="B177" s="350"/>
      <c r="C177" s="350"/>
      <c r="D177" s="349">
        <v>22955565.99</v>
      </c>
      <c r="E177" s="349">
        <v>22955565.99</v>
      </c>
      <c r="F177" s="350"/>
      <c r="G177" s="350"/>
    </row>
    <row r="178" spans="1:7" ht="23.25" customHeight="1" outlineLevel="2">
      <c r="A178" s="351" t="s">
        <v>344</v>
      </c>
      <c r="B178" s="347"/>
      <c r="C178" s="347"/>
      <c r="D178" s="346">
        <v>22955565.99</v>
      </c>
      <c r="E178" s="346">
        <v>22955565.99</v>
      </c>
      <c r="F178" s="347"/>
      <c r="G178" s="347"/>
    </row>
    <row r="179" spans="1:7" ht="23.25" customHeight="1" outlineLevel="1">
      <c r="A179" s="348" t="s">
        <v>692</v>
      </c>
      <c r="B179" s="350"/>
      <c r="C179" s="350"/>
      <c r="D179" s="349">
        <v>29545.55</v>
      </c>
      <c r="E179" s="349">
        <v>29545.55</v>
      </c>
      <c r="F179" s="350"/>
      <c r="G179" s="350"/>
    </row>
    <row r="180" spans="1:7" ht="23.25" customHeight="1" outlineLevel="2">
      <c r="A180" s="351" t="s">
        <v>693</v>
      </c>
      <c r="B180" s="347"/>
      <c r="C180" s="347"/>
      <c r="D180" s="346">
        <v>29545.55</v>
      </c>
      <c r="E180" s="346">
        <v>29545.55</v>
      </c>
      <c r="F180" s="347"/>
      <c r="G180" s="347"/>
    </row>
    <row r="181" spans="1:7" ht="34.5" customHeight="1" outlineLevel="1">
      <c r="A181" s="345" t="s">
        <v>389</v>
      </c>
      <c r="B181" s="347"/>
      <c r="C181" s="347"/>
      <c r="D181" s="346">
        <v>3015588.79</v>
      </c>
      <c r="E181" s="346">
        <v>3015588.79</v>
      </c>
      <c r="F181" s="347"/>
      <c r="G181" s="347"/>
    </row>
    <row r="182" spans="1:7" ht="12" customHeight="1" outlineLevel="1">
      <c r="A182" s="345" t="s">
        <v>390</v>
      </c>
      <c r="B182" s="347"/>
      <c r="C182" s="347"/>
      <c r="D182" s="346">
        <v>109316.42</v>
      </c>
      <c r="E182" s="346">
        <v>109316.42</v>
      </c>
      <c r="F182" s="347"/>
      <c r="G182" s="347"/>
    </row>
    <row r="183" spans="1:7" ht="34.5" customHeight="1">
      <c r="A183" s="342" t="s">
        <v>345</v>
      </c>
      <c r="B183" s="344"/>
      <c r="C183" s="344"/>
      <c r="D183" s="343">
        <v>261409755</v>
      </c>
      <c r="E183" s="343">
        <v>261409755</v>
      </c>
      <c r="F183" s="344"/>
      <c r="G183" s="344"/>
    </row>
    <row r="184" spans="1:7" ht="34.5" customHeight="1" outlineLevel="1">
      <c r="A184" s="348" t="s">
        <v>346</v>
      </c>
      <c r="B184" s="350"/>
      <c r="C184" s="350"/>
      <c r="D184" s="349">
        <v>261409755</v>
      </c>
      <c r="E184" s="349">
        <v>261409755</v>
      </c>
      <c r="F184" s="350"/>
      <c r="G184" s="350"/>
    </row>
    <row r="185" spans="1:7" ht="45.75" customHeight="1" outlineLevel="2">
      <c r="A185" s="351" t="s">
        <v>391</v>
      </c>
      <c r="B185" s="347"/>
      <c r="C185" s="347"/>
      <c r="D185" s="352">
        <v>-28388400</v>
      </c>
      <c r="E185" s="352">
        <v>-28388400</v>
      </c>
      <c r="F185" s="347"/>
      <c r="G185" s="347"/>
    </row>
    <row r="186" spans="1:7" ht="45.75" customHeight="1" outlineLevel="2">
      <c r="A186" s="351" t="s">
        <v>347</v>
      </c>
      <c r="B186" s="347"/>
      <c r="C186" s="347"/>
      <c r="D186" s="346">
        <v>289798155</v>
      </c>
      <c r="E186" s="346">
        <v>289798155</v>
      </c>
      <c r="F186" s="347"/>
      <c r="G186" s="347"/>
    </row>
    <row r="187" spans="1:7" ht="12" customHeight="1">
      <c r="A187" s="342" t="s">
        <v>348</v>
      </c>
      <c r="B187" s="344"/>
      <c r="C187" s="344"/>
      <c r="D187" s="343">
        <v>2472279371.11</v>
      </c>
      <c r="E187" s="343">
        <v>2472279371.11</v>
      </c>
      <c r="F187" s="344"/>
      <c r="G187" s="344"/>
    </row>
    <row r="188" spans="1:7" ht="12" customHeight="1" outlineLevel="1">
      <c r="A188" s="345" t="s">
        <v>349</v>
      </c>
      <c r="B188" s="347"/>
      <c r="C188" s="347"/>
      <c r="D188" s="346">
        <v>2419245989.54</v>
      </c>
      <c r="E188" s="346">
        <v>2419245989.54</v>
      </c>
      <c r="F188" s="347"/>
      <c r="G188" s="347"/>
    </row>
    <row r="189" spans="1:7" ht="23.25" customHeight="1" outlineLevel="1">
      <c r="A189" s="345" t="s">
        <v>350</v>
      </c>
      <c r="B189" s="347"/>
      <c r="C189" s="347"/>
      <c r="D189" s="346">
        <v>14837733.57</v>
      </c>
      <c r="E189" s="346">
        <v>14837733.57</v>
      </c>
      <c r="F189" s="347"/>
      <c r="G189" s="347"/>
    </row>
    <row r="190" spans="1:7" ht="23.25" customHeight="1" outlineLevel="1">
      <c r="A190" s="345" t="s">
        <v>351</v>
      </c>
      <c r="B190" s="347"/>
      <c r="C190" s="347"/>
      <c r="D190" s="346">
        <v>38195648</v>
      </c>
      <c r="E190" s="346">
        <v>38195648</v>
      </c>
      <c r="F190" s="347"/>
      <c r="G190" s="347"/>
    </row>
    <row r="191" spans="1:7" ht="23.25" customHeight="1">
      <c r="A191" s="342" t="s">
        <v>352</v>
      </c>
      <c r="B191" s="344"/>
      <c r="C191" s="344"/>
      <c r="D191" s="343">
        <v>100638923.15</v>
      </c>
      <c r="E191" s="343">
        <v>100638923.15</v>
      </c>
      <c r="F191" s="344"/>
      <c r="G191" s="344"/>
    </row>
    <row r="192" spans="1:7" ht="23.25" customHeight="1" outlineLevel="1">
      <c r="A192" s="345" t="s">
        <v>353</v>
      </c>
      <c r="B192" s="347"/>
      <c r="C192" s="347"/>
      <c r="D192" s="346">
        <v>100638923.15</v>
      </c>
      <c r="E192" s="346">
        <v>100638923.15</v>
      </c>
      <c r="F192" s="347"/>
      <c r="G192" s="347"/>
    </row>
    <row r="193" spans="1:7" ht="12" customHeight="1">
      <c r="A193" s="342" t="s">
        <v>354</v>
      </c>
      <c r="B193" s="344"/>
      <c r="C193" s="344"/>
      <c r="D193" s="343">
        <v>3785360464.28</v>
      </c>
      <c r="E193" s="343">
        <v>3785360464.28</v>
      </c>
      <c r="F193" s="344"/>
      <c r="G193" s="344"/>
    </row>
    <row r="194" spans="1:7" ht="12" customHeight="1" outlineLevel="1">
      <c r="A194" s="345" t="s">
        <v>355</v>
      </c>
      <c r="B194" s="347"/>
      <c r="C194" s="347"/>
      <c r="D194" s="346">
        <v>3308003285.6600003</v>
      </c>
      <c r="E194" s="346">
        <v>3308003285.6600003</v>
      </c>
      <c r="F194" s="347"/>
      <c r="G194" s="347"/>
    </row>
    <row r="195" spans="1:7" ht="34.5" customHeight="1" outlineLevel="1">
      <c r="A195" s="348" t="s">
        <v>356</v>
      </c>
      <c r="B195" s="350"/>
      <c r="C195" s="350"/>
      <c r="D195" s="349">
        <v>477357178.62</v>
      </c>
      <c r="E195" s="349">
        <v>477357178.62</v>
      </c>
      <c r="F195" s="350"/>
      <c r="G195" s="350"/>
    </row>
    <row r="196" spans="1:7" ht="23.25" customHeight="1" outlineLevel="2">
      <c r="A196" s="351" t="s">
        <v>357</v>
      </c>
      <c r="B196" s="347"/>
      <c r="C196" s="347"/>
      <c r="D196" s="346">
        <v>14416131.51</v>
      </c>
      <c r="E196" s="346">
        <v>14416131.51</v>
      </c>
      <c r="F196" s="347"/>
      <c r="G196" s="347"/>
    </row>
    <row r="197" spans="1:7" ht="23.25" customHeight="1" outlineLevel="2">
      <c r="A197" s="351" t="s">
        <v>358</v>
      </c>
      <c r="B197" s="347"/>
      <c r="C197" s="347"/>
      <c r="D197" s="346">
        <v>27288210.67</v>
      </c>
      <c r="E197" s="346">
        <v>27288210.67</v>
      </c>
      <c r="F197" s="347"/>
      <c r="G197" s="347"/>
    </row>
    <row r="198" spans="1:7" ht="23.25" customHeight="1" outlineLevel="2">
      <c r="A198" s="351" t="s">
        <v>359</v>
      </c>
      <c r="B198" s="347"/>
      <c r="C198" s="347"/>
      <c r="D198" s="346">
        <v>435652836.44</v>
      </c>
      <c r="E198" s="346">
        <v>435652836.44</v>
      </c>
      <c r="F198" s="347"/>
      <c r="G198" s="347"/>
    </row>
    <row r="199" spans="1:7" ht="23.25" customHeight="1">
      <c r="A199" s="356" t="s">
        <v>77</v>
      </c>
      <c r="B199" s="357">
        <v>25481536561.7</v>
      </c>
      <c r="C199" s="357">
        <v>25481536561.7</v>
      </c>
      <c r="D199" s="357">
        <v>238678684367.55002</v>
      </c>
      <c r="E199" s="357">
        <v>238678684367.55002</v>
      </c>
      <c r="F199" s="357">
        <v>27285303821.94</v>
      </c>
      <c r="G199" s="357">
        <v>27285303821.94</v>
      </c>
    </row>
    <row r="201" ht="12.75">
      <c r="F201" s="91">
        <f>F62</f>
        <v>91404484.17</v>
      </c>
    </row>
    <row r="203" ht="12.75">
      <c r="F203" s="91">
        <f>F199-F201</f>
        <v>27193899337.77</v>
      </c>
    </row>
    <row r="204" ht="12.75">
      <c r="F204" s="89">
        <v>292391.52</v>
      </c>
    </row>
    <row r="206" ht="12.75">
      <c r="F206" s="91">
        <f>F203+F204</f>
        <v>27194191729.29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7:M77"/>
  <sheetViews>
    <sheetView zoomScalePageLayoutView="0" workbookViewId="0" topLeftCell="A23">
      <selection activeCell="K78" sqref="K78"/>
    </sheetView>
  </sheetViews>
  <sheetFormatPr defaultColWidth="9.00390625" defaultRowHeight="12.75"/>
  <cols>
    <col min="1" max="1" width="13.625" style="0" customWidth="1"/>
    <col min="2" max="2" width="25.00390625" style="0" customWidth="1"/>
    <col min="3" max="3" width="15.125" style="0" customWidth="1"/>
    <col min="4" max="4" width="9.75390625" style="0" bestFit="1" customWidth="1"/>
    <col min="5" max="5" width="8.87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8.25390625" style="0" customWidth="1"/>
  </cols>
  <sheetData>
    <row r="1" s="17" customFormat="1" ht="12" customHeight="1"/>
    <row r="2" s="17" customFormat="1" ht="12.75" hidden="1"/>
    <row r="3" s="17" customFormat="1" ht="12.75" hidden="1"/>
    <row r="4" s="17" customFormat="1" ht="12.75" hidden="1"/>
    <row r="5" s="17" customFormat="1" ht="12.75"/>
    <row r="6" s="17" customFormat="1" ht="12.75"/>
    <row r="7" spans="1:8" s="17" customFormat="1" ht="12.75">
      <c r="A7" s="18" t="str">
        <f>+'[1]Ф1'!A1</f>
        <v>Введите название компании</v>
      </c>
      <c r="B7" s="18"/>
      <c r="C7" s="19" t="s">
        <v>65</v>
      </c>
      <c r="D7" s="19"/>
      <c r="E7" s="20"/>
      <c r="F7" s="19"/>
      <c r="G7" s="19"/>
      <c r="H7" s="19"/>
    </row>
    <row r="8" spans="1:8" s="22" customFormat="1" ht="15.75" customHeight="1">
      <c r="A8" s="21" t="s">
        <v>66</v>
      </c>
      <c r="B8" s="373" t="s">
        <v>700</v>
      </c>
      <c r="C8" s="373"/>
      <c r="D8" s="373"/>
      <c r="E8" s="373"/>
      <c r="F8" s="373"/>
      <c r="G8" s="374"/>
      <c r="H8" s="374"/>
    </row>
    <row r="9" s="17" customFormat="1" ht="13.5" thickBot="1"/>
    <row r="10" spans="1:13" s="17" customFormat="1" ht="21.75" customHeight="1" thickBot="1">
      <c r="A10" s="23" t="s">
        <v>67</v>
      </c>
      <c r="B10" s="375"/>
      <c r="C10" s="371" t="s">
        <v>68</v>
      </c>
      <c r="D10" s="371" t="s">
        <v>69</v>
      </c>
      <c r="E10" s="371" t="s">
        <v>70</v>
      </c>
      <c r="F10" s="371" t="s">
        <v>71</v>
      </c>
      <c r="G10" s="371" t="s">
        <v>72</v>
      </c>
      <c r="H10" s="371" t="s">
        <v>73</v>
      </c>
      <c r="I10" s="371" t="s">
        <v>74</v>
      </c>
      <c r="J10" s="371" t="s">
        <v>58</v>
      </c>
      <c r="K10" s="371" t="s">
        <v>75</v>
      </c>
      <c r="L10" s="371" t="s">
        <v>76</v>
      </c>
      <c r="M10" s="372" t="s">
        <v>77</v>
      </c>
    </row>
    <row r="11" spans="1:13" s="17" customFormat="1" ht="63.75" customHeight="1" thickBot="1">
      <c r="A11" s="23"/>
      <c r="B11" s="375"/>
      <c r="C11" s="376"/>
      <c r="D11" s="376"/>
      <c r="E11" s="371"/>
      <c r="F11" s="376"/>
      <c r="G11" s="371"/>
      <c r="H11" s="371"/>
      <c r="I11" s="371"/>
      <c r="J11" s="376"/>
      <c r="K11" s="371"/>
      <c r="L11" s="371"/>
      <c r="M11" s="372"/>
    </row>
    <row r="12" spans="1:13" s="17" customFormat="1" ht="13.5" thickBot="1">
      <c r="A12" s="24"/>
      <c r="B12" s="25"/>
      <c r="C12" s="26" t="s">
        <v>78</v>
      </c>
      <c r="D12" s="26" t="s">
        <v>78</v>
      </c>
      <c r="E12" s="26" t="s">
        <v>78</v>
      </c>
      <c r="F12" s="26" t="s">
        <v>78</v>
      </c>
      <c r="G12" s="26" t="s">
        <v>78</v>
      </c>
      <c r="H12" s="26" t="s">
        <v>78</v>
      </c>
      <c r="I12" s="26" t="s">
        <v>78</v>
      </c>
      <c r="J12" s="26" t="s">
        <v>78</v>
      </c>
      <c r="K12" s="26" t="s">
        <v>78</v>
      </c>
      <c r="L12" s="26" t="s">
        <v>78</v>
      </c>
      <c r="M12" s="26" t="s">
        <v>78</v>
      </c>
    </row>
    <row r="13" spans="1:13" s="17" customFormat="1" ht="24.75" customHeight="1" thickBot="1">
      <c r="A13" s="27"/>
      <c r="B13" s="28" t="s">
        <v>190</v>
      </c>
      <c r="C13" s="56">
        <v>1712762</v>
      </c>
      <c r="D13" s="56">
        <v>-38924</v>
      </c>
      <c r="E13" s="56"/>
      <c r="F13" s="56">
        <v>8443674</v>
      </c>
      <c r="G13" s="56"/>
      <c r="H13" s="56"/>
      <c r="I13" s="56"/>
      <c r="J13" s="56">
        <v>3428770</v>
      </c>
      <c r="K13" s="57">
        <f>SUM(C13:J13)</f>
        <v>13546282</v>
      </c>
      <c r="L13" s="56"/>
      <c r="M13" s="57">
        <f aca="true" t="shared" si="0" ref="M13:M34">+K13+L13</f>
        <v>13546282</v>
      </c>
    </row>
    <row r="14" spans="1:13" s="17" customFormat="1" ht="39.75" customHeight="1" thickBot="1">
      <c r="A14" s="27" t="s">
        <v>79</v>
      </c>
      <c r="B14" s="29" t="s">
        <v>80</v>
      </c>
      <c r="C14" s="58"/>
      <c r="D14" s="58"/>
      <c r="E14" s="58"/>
      <c r="F14" s="58"/>
      <c r="G14" s="58"/>
      <c r="H14" s="58"/>
      <c r="I14" s="58"/>
      <c r="J14" s="58"/>
      <c r="K14" s="59">
        <f aca="true" t="shared" si="1" ref="K14:K34">+SUM(C14:J14)</f>
        <v>0</v>
      </c>
      <c r="L14" s="58"/>
      <c r="M14" s="59">
        <f t="shared" si="0"/>
        <v>0</v>
      </c>
    </row>
    <row r="15" spans="1:13" s="17" customFormat="1" ht="34.5" customHeight="1" thickBot="1">
      <c r="A15" s="27" t="s">
        <v>79</v>
      </c>
      <c r="B15" s="29" t="s">
        <v>81</v>
      </c>
      <c r="C15" s="58"/>
      <c r="D15" s="58"/>
      <c r="E15" s="58"/>
      <c r="F15" s="58"/>
      <c r="G15" s="58"/>
      <c r="H15" s="58"/>
      <c r="I15" s="58"/>
      <c r="J15" s="58"/>
      <c r="K15" s="59">
        <f t="shared" si="1"/>
        <v>0</v>
      </c>
      <c r="L15" s="58"/>
      <c r="M15" s="59">
        <f t="shared" si="0"/>
        <v>0</v>
      </c>
    </row>
    <row r="16" spans="1:13" s="17" customFormat="1" ht="51.75" customHeight="1" thickBot="1">
      <c r="A16" s="27" t="s">
        <v>79</v>
      </c>
      <c r="B16" s="29" t="s">
        <v>82</v>
      </c>
      <c r="C16" s="58"/>
      <c r="D16" s="58"/>
      <c r="E16" s="58"/>
      <c r="F16" s="58"/>
      <c r="G16" s="58"/>
      <c r="H16" s="58"/>
      <c r="I16" s="58"/>
      <c r="J16" s="58"/>
      <c r="K16" s="59">
        <f t="shared" si="1"/>
        <v>0</v>
      </c>
      <c r="L16" s="58"/>
      <c r="M16" s="59">
        <f t="shared" si="0"/>
        <v>0</v>
      </c>
    </row>
    <row r="17" spans="1:13" s="17" customFormat="1" ht="29.25" customHeight="1" thickBot="1">
      <c r="A17" s="27" t="s">
        <v>83</v>
      </c>
      <c r="B17" s="29" t="s">
        <v>84</v>
      </c>
      <c r="C17" s="58"/>
      <c r="D17" s="58"/>
      <c r="E17" s="58"/>
      <c r="F17" s="58"/>
      <c r="G17" s="58"/>
      <c r="H17" s="58"/>
      <c r="I17" s="58"/>
      <c r="J17" s="58"/>
      <c r="K17" s="59">
        <f>+SUM(C17:J17)</f>
        <v>0</v>
      </c>
      <c r="L17" s="58"/>
      <c r="M17" s="59">
        <f t="shared" si="0"/>
        <v>0</v>
      </c>
    </row>
    <row r="18" spans="1:13" s="17" customFormat="1" ht="29.25" customHeight="1" thickBot="1">
      <c r="A18" s="27" t="s">
        <v>79</v>
      </c>
      <c r="B18" s="29" t="s">
        <v>85</v>
      </c>
      <c r="C18" s="58"/>
      <c r="D18" s="58"/>
      <c r="E18" s="58"/>
      <c r="F18" s="58"/>
      <c r="G18" s="58"/>
      <c r="H18" s="58"/>
      <c r="I18" s="58"/>
      <c r="J18" s="58"/>
      <c r="K18" s="59">
        <f t="shared" si="1"/>
        <v>0</v>
      </c>
      <c r="L18" s="58"/>
      <c r="M18" s="59">
        <f t="shared" si="0"/>
        <v>0</v>
      </c>
    </row>
    <row r="19" spans="1:13" s="17" customFormat="1" ht="40.5" customHeight="1" thickBot="1">
      <c r="A19" s="27" t="s">
        <v>79</v>
      </c>
      <c r="B19" s="28" t="s">
        <v>86</v>
      </c>
      <c r="C19" s="59">
        <f aca="true" t="shared" si="2" ref="C19:J19">+SUM(C14:C18)</f>
        <v>0</v>
      </c>
      <c r="D19" s="59">
        <f t="shared" si="2"/>
        <v>0</v>
      </c>
      <c r="E19" s="59">
        <f t="shared" si="2"/>
        <v>0</v>
      </c>
      <c r="F19" s="59"/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1"/>
        <v>0</v>
      </c>
      <c r="L19" s="59">
        <f>+SUM(L14:L18)</f>
        <v>0</v>
      </c>
      <c r="M19" s="59">
        <f t="shared" si="0"/>
        <v>0</v>
      </c>
    </row>
    <row r="20" spans="1:13" s="17" customFormat="1" ht="27.75" customHeight="1" thickBot="1">
      <c r="A20" s="27"/>
      <c r="B20" s="29" t="s">
        <v>87</v>
      </c>
      <c r="C20" s="58"/>
      <c r="D20" s="58"/>
      <c r="E20" s="58"/>
      <c r="F20" s="58"/>
      <c r="G20" s="58"/>
      <c r="H20" s="58"/>
      <c r="I20" s="58"/>
      <c r="J20" s="58"/>
      <c r="K20" s="59">
        <f t="shared" si="1"/>
        <v>0</v>
      </c>
      <c r="L20" s="58"/>
      <c r="M20" s="59">
        <f t="shared" si="0"/>
        <v>0</v>
      </c>
    </row>
    <row r="21" spans="1:13" s="17" customFormat="1" ht="46.5" customHeight="1" thickBot="1">
      <c r="A21" s="27" t="s">
        <v>88</v>
      </c>
      <c r="B21" s="29" t="s">
        <v>89</v>
      </c>
      <c r="C21" s="58"/>
      <c r="D21" s="58"/>
      <c r="E21" s="58"/>
      <c r="F21" s="58"/>
      <c r="G21" s="58"/>
      <c r="H21" s="58"/>
      <c r="I21" s="58"/>
      <c r="J21" s="58"/>
      <c r="K21" s="59">
        <f t="shared" si="1"/>
        <v>0</v>
      </c>
      <c r="L21" s="58"/>
      <c r="M21" s="59">
        <f t="shared" si="0"/>
        <v>0</v>
      </c>
    </row>
    <row r="22" spans="1:13" s="17" customFormat="1" ht="70.5" customHeight="1" thickBot="1">
      <c r="A22" s="27" t="s">
        <v>90</v>
      </c>
      <c r="B22" s="29" t="s">
        <v>91</v>
      </c>
      <c r="C22" s="58"/>
      <c r="D22" s="58"/>
      <c r="E22" s="58"/>
      <c r="F22" s="58"/>
      <c r="G22" s="58"/>
      <c r="H22" s="58"/>
      <c r="I22" s="58"/>
      <c r="J22" s="58"/>
      <c r="K22" s="59">
        <f t="shared" si="1"/>
        <v>0</v>
      </c>
      <c r="L22" s="58"/>
      <c r="M22" s="59">
        <f t="shared" si="0"/>
        <v>0</v>
      </c>
    </row>
    <row r="23" spans="1:13" s="17" customFormat="1" ht="37.5" customHeight="1" thickBot="1">
      <c r="A23" s="27"/>
      <c r="B23" s="29" t="s">
        <v>92</v>
      </c>
      <c r="C23" s="58"/>
      <c r="D23" s="58"/>
      <c r="E23" s="58"/>
      <c r="F23" s="58">
        <v>-689218.527</v>
      </c>
      <c r="G23" s="58"/>
      <c r="H23" s="58"/>
      <c r="I23" s="58"/>
      <c r="J23" s="58">
        <v>689218.527</v>
      </c>
      <c r="K23" s="59">
        <f t="shared" si="1"/>
        <v>0</v>
      </c>
      <c r="L23" s="58"/>
      <c r="M23" s="59">
        <f t="shared" si="0"/>
        <v>0</v>
      </c>
    </row>
    <row r="24" spans="1:13" s="17" customFormat="1" ht="16.5" customHeight="1" thickBot="1">
      <c r="A24" s="27"/>
      <c r="B24" s="29" t="s">
        <v>93</v>
      </c>
      <c r="C24" s="58"/>
      <c r="D24" s="58"/>
      <c r="E24" s="58"/>
      <c r="F24" s="58"/>
      <c r="G24" s="58"/>
      <c r="H24" s="58"/>
      <c r="I24" s="58"/>
      <c r="J24" s="58"/>
      <c r="K24" s="59">
        <f t="shared" si="1"/>
        <v>0</v>
      </c>
      <c r="L24" s="58"/>
      <c r="M24" s="59">
        <f t="shared" si="0"/>
        <v>0</v>
      </c>
    </row>
    <row r="25" spans="1:13" s="17" customFormat="1" ht="26.25" customHeight="1" thickBot="1">
      <c r="A25" s="27" t="s">
        <v>94</v>
      </c>
      <c r="B25" s="30" t="s">
        <v>95</v>
      </c>
      <c r="C25" s="58"/>
      <c r="D25" s="58"/>
      <c r="E25" s="58"/>
      <c r="F25" s="58"/>
      <c r="G25" s="58"/>
      <c r="H25" s="58"/>
      <c r="I25" s="58"/>
      <c r="J25" s="60">
        <v>1156627.527</v>
      </c>
      <c r="K25" s="59">
        <f t="shared" si="1"/>
        <v>1156627.527</v>
      </c>
      <c r="L25" s="58"/>
      <c r="M25" s="59">
        <f t="shared" si="0"/>
        <v>1156627.527</v>
      </c>
    </row>
    <row r="26" spans="1:13" s="17" customFormat="1" ht="23.25" thickBot="1">
      <c r="A26" s="27" t="s">
        <v>96</v>
      </c>
      <c r="B26" s="28" t="s">
        <v>97</v>
      </c>
      <c r="C26" s="58">
        <f aca="true" t="shared" si="3" ref="C26:I26">+SUM(C19:C25)</f>
        <v>0</v>
      </c>
      <c r="D26" s="58">
        <f t="shared" si="3"/>
        <v>0</v>
      </c>
      <c r="E26" s="58">
        <f t="shared" si="3"/>
        <v>0</v>
      </c>
      <c r="F26" s="58">
        <f>+SUM(F19:F25)</f>
        <v>-689218.527</v>
      </c>
      <c r="G26" s="58">
        <f t="shared" si="3"/>
        <v>0</v>
      </c>
      <c r="H26" s="58">
        <f t="shared" si="3"/>
        <v>0</v>
      </c>
      <c r="I26" s="58">
        <f t="shared" si="3"/>
        <v>0</v>
      </c>
      <c r="J26" s="60">
        <f>+SUM(J19:J25)</f>
        <v>1845846.054</v>
      </c>
      <c r="K26" s="59">
        <f>+SUM(C26:J26)</f>
        <v>1156627.527</v>
      </c>
      <c r="L26" s="58">
        <f>+SUM(L19:L25)</f>
        <v>0</v>
      </c>
      <c r="M26" s="59">
        <f>+K26+L26</f>
        <v>1156627.527</v>
      </c>
    </row>
    <row r="27" spans="1:13" s="17" customFormat="1" ht="25.5" customHeight="1" thickBot="1">
      <c r="A27" s="27" t="s">
        <v>98</v>
      </c>
      <c r="B27" s="29" t="s">
        <v>99</v>
      </c>
      <c r="C27" s="58"/>
      <c r="D27" s="58"/>
      <c r="E27" s="58"/>
      <c r="F27" s="58"/>
      <c r="G27" s="58"/>
      <c r="H27" s="58"/>
      <c r="I27" s="58"/>
      <c r="J27" s="58"/>
      <c r="K27" s="59">
        <f t="shared" si="1"/>
        <v>0</v>
      </c>
      <c r="L27" s="58"/>
      <c r="M27" s="59">
        <f t="shared" si="0"/>
        <v>0</v>
      </c>
    </row>
    <row r="28" spans="1:13" s="17" customFormat="1" ht="25.5" customHeight="1" thickBot="1">
      <c r="A28" s="27"/>
      <c r="B28" s="29" t="s">
        <v>100</v>
      </c>
      <c r="C28" s="58"/>
      <c r="D28" s="58"/>
      <c r="E28" s="58"/>
      <c r="F28" s="58"/>
      <c r="G28" s="58"/>
      <c r="H28" s="58"/>
      <c r="I28" s="58"/>
      <c r="J28" s="58"/>
      <c r="K28" s="59">
        <f t="shared" si="1"/>
        <v>0</v>
      </c>
      <c r="L28" s="58"/>
      <c r="M28" s="59">
        <f t="shared" si="0"/>
        <v>0</v>
      </c>
    </row>
    <row r="29" spans="1:13" s="17" customFormat="1" ht="27" customHeight="1" thickBot="1">
      <c r="A29" s="27" t="s">
        <v>98</v>
      </c>
      <c r="B29" s="29" t="s">
        <v>101</v>
      </c>
      <c r="C29" s="58"/>
      <c r="D29" s="58"/>
      <c r="E29" s="58"/>
      <c r="F29" s="58"/>
      <c r="G29" s="58"/>
      <c r="H29" s="58"/>
      <c r="I29" s="58"/>
      <c r="J29" s="58"/>
      <c r="K29" s="59">
        <f t="shared" si="1"/>
        <v>0</v>
      </c>
      <c r="L29" s="58"/>
      <c r="M29" s="59">
        <f t="shared" si="0"/>
        <v>0</v>
      </c>
    </row>
    <row r="30" spans="1:13" s="17" customFormat="1" ht="23.25" customHeight="1" thickBot="1">
      <c r="A30" s="27" t="s">
        <v>98</v>
      </c>
      <c r="B30" s="29" t="s">
        <v>102</v>
      </c>
      <c r="C30" s="58"/>
      <c r="D30" s="58"/>
      <c r="E30" s="58"/>
      <c r="F30" s="58"/>
      <c r="G30" s="58"/>
      <c r="H30" s="58"/>
      <c r="I30" s="58"/>
      <c r="J30" s="58"/>
      <c r="K30" s="59">
        <f t="shared" si="1"/>
        <v>0</v>
      </c>
      <c r="L30" s="58"/>
      <c r="M30" s="59">
        <f t="shared" si="0"/>
        <v>0</v>
      </c>
    </row>
    <row r="31" spans="1:13" s="17" customFormat="1" ht="27.75" customHeight="1" thickBot="1">
      <c r="A31" s="27" t="s">
        <v>98</v>
      </c>
      <c r="B31" s="29" t="s">
        <v>103</v>
      </c>
      <c r="C31" s="58"/>
      <c r="D31" s="58"/>
      <c r="E31" s="58"/>
      <c r="F31" s="58"/>
      <c r="G31" s="58"/>
      <c r="H31" s="58"/>
      <c r="I31" s="58"/>
      <c r="J31" s="58"/>
      <c r="K31" s="59">
        <f t="shared" si="1"/>
        <v>0</v>
      </c>
      <c r="L31" s="58"/>
      <c r="M31" s="59">
        <f t="shared" si="0"/>
        <v>0</v>
      </c>
    </row>
    <row r="32" spans="1:13" s="17" customFormat="1" ht="25.5" customHeight="1" thickBot="1">
      <c r="A32" s="27"/>
      <c r="B32" s="29" t="s">
        <v>104</v>
      </c>
      <c r="C32" s="58"/>
      <c r="D32" s="58"/>
      <c r="E32" s="58"/>
      <c r="F32" s="58"/>
      <c r="G32" s="58"/>
      <c r="H32" s="58"/>
      <c r="I32" s="58"/>
      <c r="J32" s="58"/>
      <c r="K32" s="59">
        <f t="shared" si="1"/>
        <v>0</v>
      </c>
      <c r="L32" s="58"/>
      <c r="M32" s="59">
        <f t="shared" si="0"/>
        <v>0</v>
      </c>
    </row>
    <row r="33" spans="1:13" s="17" customFormat="1" ht="35.25" customHeight="1" thickBot="1">
      <c r="A33" s="27" t="s">
        <v>98</v>
      </c>
      <c r="B33" s="29" t="s">
        <v>105</v>
      </c>
      <c r="C33" s="58"/>
      <c r="D33" s="58"/>
      <c r="E33" s="58"/>
      <c r="F33" s="58"/>
      <c r="G33" s="58"/>
      <c r="H33" s="58"/>
      <c r="I33" s="58"/>
      <c r="J33" s="58"/>
      <c r="K33" s="59">
        <f t="shared" si="1"/>
        <v>0</v>
      </c>
      <c r="L33" s="58"/>
      <c r="M33" s="59">
        <f t="shared" si="0"/>
        <v>0</v>
      </c>
    </row>
    <row r="34" spans="1:13" s="17" customFormat="1" ht="27" customHeight="1" thickBot="1">
      <c r="A34" s="27" t="s">
        <v>98</v>
      </c>
      <c r="B34" s="29" t="s">
        <v>106</v>
      </c>
      <c r="C34" s="58"/>
      <c r="D34" s="58"/>
      <c r="E34" s="58"/>
      <c r="F34" s="58"/>
      <c r="G34" s="58"/>
      <c r="H34" s="58"/>
      <c r="I34" s="58"/>
      <c r="J34" s="58">
        <v>-249924.527</v>
      </c>
      <c r="K34" s="59">
        <f t="shared" si="1"/>
        <v>-249924.527</v>
      </c>
      <c r="L34" s="58"/>
      <c r="M34" s="59">
        <f t="shared" si="0"/>
        <v>-249924.527</v>
      </c>
    </row>
    <row r="35" spans="1:13" s="17" customFormat="1" ht="26.25" customHeight="1" thickBot="1">
      <c r="A35" s="31"/>
      <c r="B35" s="32" t="s">
        <v>381</v>
      </c>
      <c r="C35" s="56">
        <f aca="true" t="shared" si="4" ref="C35:J35">+C13+C26+SUM(C27:C34)</f>
        <v>1712762</v>
      </c>
      <c r="D35" s="56">
        <f t="shared" si="4"/>
        <v>-38924</v>
      </c>
      <c r="E35" s="56">
        <f t="shared" si="4"/>
        <v>0</v>
      </c>
      <c r="F35" s="56">
        <f t="shared" si="4"/>
        <v>7754455.473</v>
      </c>
      <c r="G35" s="56">
        <f t="shared" si="4"/>
        <v>0</v>
      </c>
      <c r="H35" s="56">
        <f t="shared" si="4"/>
        <v>0</v>
      </c>
      <c r="I35" s="56">
        <f t="shared" si="4"/>
        <v>0</v>
      </c>
      <c r="J35" s="56">
        <f t="shared" si="4"/>
        <v>5024691.527</v>
      </c>
      <c r="K35" s="57">
        <f>+SUM(C35:J35)</f>
        <v>14452985</v>
      </c>
      <c r="L35" s="56">
        <f>+L13+L26+SUM(L27:L34)</f>
        <v>0</v>
      </c>
      <c r="M35" s="57">
        <f>+K35+L35</f>
        <v>14452985</v>
      </c>
    </row>
    <row r="36" spans="1:13" s="33" customFormat="1" ht="32.25" customHeight="1" thickBot="1">
      <c r="A36" s="31"/>
      <c r="B36" s="32" t="s">
        <v>382</v>
      </c>
      <c r="C36" s="56">
        <f>C35</f>
        <v>1712762</v>
      </c>
      <c r="D36" s="56">
        <f aca="true" t="shared" si="5" ref="D36:L36">D35</f>
        <v>-38924</v>
      </c>
      <c r="E36" s="56">
        <f t="shared" si="5"/>
        <v>0</v>
      </c>
      <c r="F36" s="56">
        <f>F35</f>
        <v>7754455.473</v>
      </c>
      <c r="G36" s="56">
        <f t="shared" si="5"/>
        <v>0</v>
      </c>
      <c r="H36" s="56">
        <f t="shared" si="5"/>
        <v>0</v>
      </c>
      <c r="I36" s="56">
        <f t="shared" si="5"/>
        <v>0</v>
      </c>
      <c r="J36" s="56">
        <v>5024691.277</v>
      </c>
      <c r="K36" s="57">
        <f>+SUM(C36:J36)</f>
        <v>14452984.75</v>
      </c>
      <c r="L36" s="56">
        <f t="shared" si="5"/>
        <v>0</v>
      </c>
      <c r="M36" s="57">
        <f>+K36+L36</f>
        <v>14452984.75</v>
      </c>
    </row>
    <row r="37" spans="1:13" s="17" customFormat="1" ht="39.75" customHeight="1" thickBot="1">
      <c r="A37" s="27" t="s">
        <v>79</v>
      </c>
      <c r="B37" s="29" t="s">
        <v>80</v>
      </c>
      <c r="C37" s="58"/>
      <c r="D37" s="58"/>
      <c r="E37" s="58"/>
      <c r="F37" s="58"/>
      <c r="G37" s="58"/>
      <c r="H37" s="58"/>
      <c r="I37" s="58"/>
      <c r="J37" s="58"/>
      <c r="K37" s="59">
        <f aca="true" t="shared" si="6" ref="K37:K57">+SUM(C37:J37)</f>
        <v>0</v>
      </c>
      <c r="L37" s="58"/>
      <c r="M37" s="59">
        <f>+K37+L37</f>
        <v>0</v>
      </c>
    </row>
    <row r="38" spans="1:13" s="17" customFormat="1" ht="34.5" customHeight="1" thickBot="1">
      <c r="A38" s="27" t="s">
        <v>79</v>
      </c>
      <c r="B38" s="29" t="s">
        <v>81</v>
      </c>
      <c r="C38" s="58"/>
      <c r="D38" s="58"/>
      <c r="E38" s="58"/>
      <c r="F38" s="58"/>
      <c r="G38" s="58"/>
      <c r="H38" s="58"/>
      <c r="I38" s="58"/>
      <c r="J38" s="58"/>
      <c r="K38" s="59">
        <f t="shared" si="6"/>
        <v>0</v>
      </c>
      <c r="L38" s="58"/>
      <c r="M38" s="59">
        <f aca="true" t="shared" si="7" ref="M38:M57">+K38+L38</f>
        <v>0</v>
      </c>
    </row>
    <row r="39" spans="1:13" s="17" customFormat="1" ht="51.75" customHeight="1" thickBot="1">
      <c r="A39" s="27" t="s">
        <v>79</v>
      </c>
      <c r="B39" s="29" t="s">
        <v>82</v>
      </c>
      <c r="C39" s="58"/>
      <c r="D39" s="58"/>
      <c r="E39" s="58"/>
      <c r="F39" s="58"/>
      <c r="G39" s="58"/>
      <c r="H39" s="58"/>
      <c r="I39" s="58"/>
      <c r="J39" s="58"/>
      <c r="K39" s="59">
        <f t="shared" si="6"/>
        <v>0</v>
      </c>
      <c r="L39" s="58"/>
      <c r="M39" s="59">
        <f t="shared" si="7"/>
        <v>0</v>
      </c>
    </row>
    <row r="40" spans="1:13" s="17" customFormat="1" ht="29.25" customHeight="1" thickBot="1">
      <c r="A40" s="27" t="s">
        <v>83</v>
      </c>
      <c r="B40" s="29" t="s">
        <v>84</v>
      </c>
      <c r="C40" s="58"/>
      <c r="D40" s="58"/>
      <c r="E40" s="58"/>
      <c r="F40" s="58">
        <v>-17373.373</v>
      </c>
      <c r="G40" s="58"/>
      <c r="H40" s="58"/>
      <c r="I40" s="58"/>
      <c r="J40" s="58"/>
      <c r="K40" s="59">
        <f t="shared" si="6"/>
        <v>-17373.373</v>
      </c>
      <c r="L40" s="58"/>
      <c r="M40" s="59">
        <f t="shared" si="7"/>
        <v>-17373.373</v>
      </c>
    </row>
    <row r="41" spans="1:13" s="17" customFormat="1" ht="29.25" customHeight="1" thickBot="1">
      <c r="A41" s="27" t="s">
        <v>79</v>
      </c>
      <c r="B41" s="29" t="s">
        <v>85</v>
      </c>
      <c r="C41" s="58"/>
      <c r="D41" s="58"/>
      <c r="E41" s="58"/>
      <c r="F41" s="58"/>
      <c r="G41" s="58"/>
      <c r="H41" s="58"/>
      <c r="I41" s="58"/>
      <c r="J41" s="58"/>
      <c r="K41" s="59">
        <f t="shared" si="6"/>
        <v>0</v>
      </c>
      <c r="L41" s="58"/>
      <c r="M41" s="59">
        <f t="shared" si="7"/>
        <v>0</v>
      </c>
    </row>
    <row r="42" spans="1:13" s="17" customFormat="1" ht="40.5" customHeight="1" thickBot="1">
      <c r="A42" s="27" t="s">
        <v>79</v>
      </c>
      <c r="B42" s="28" t="s">
        <v>86</v>
      </c>
      <c r="C42" s="59">
        <f aca="true" t="shared" si="8" ref="C42:J42">+SUM(C37:C41)</f>
        <v>0</v>
      </c>
      <c r="D42" s="59">
        <f t="shared" si="8"/>
        <v>0</v>
      </c>
      <c r="E42" s="59">
        <f t="shared" si="8"/>
        <v>0</v>
      </c>
      <c r="F42" s="59">
        <f>+SUM(F37:F41)</f>
        <v>-17373.373</v>
      </c>
      <c r="G42" s="59">
        <f t="shared" si="8"/>
        <v>0</v>
      </c>
      <c r="H42" s="59">
        <f t="shared" si="8"/>
        <v>0</v>
      </c>
      <c r="I42" s="59">
        <f t="shared" si="8"/>
        <v>0</v>
      </c>
      <c r="J42" s="59">
        <f t="shared" si="8"/>
        <v>0</v>
      </c>
      <c r="K42" s="59">
        <f t="shared" si="6"/>
        <v>-17373.373</v>
      </c>
      <c r="L42" s="59">
        <f>+SUM(L37:L41)</f>
        <v>0</v>
      </c>
      <c r="M42" s="59">
        <f t="shared" si="7"/>
        <v>-17373.373</v>
      </c>
    </row>
    <row r="43" spans="1:13" s="17" customFormat="1" ht="27.75" customHeight="1" thickBot="1">
      <c r="A43" s="27"/>
      <c r="B43" s="29" t="s">
        <v>87</v>
      </c>
      <c r="C43" s="58"/>
      <c r="D43" s="58"/>
      <c r="E43" s="58"/>
      <c r="F43" s="58"/>
      <c r="G43" s="58"/>
      <c r="H43" s="58"/>
      <c r="I43" s="58"/>
      <c r="J43" s="58"/>
      <c r="K43" s="59">
        <f t="shared" si="6"/>
        <v>0</v>
      </c>
      <c r="L43" s="58"/>
      <c r="M43" s="59">
        <f t="shared" si="7"/>
        <v>0</v>
      </c>
    </row>
    <row r="44" spans="1:13" s="17" customFormat="1" ht="56.25" customHeight="1" thickBot="1">
      <c r="A44" s="27" t="s">
        <v>88</v>
      </c>
      <c r="B44" s="29" t="s">
        <v>89</v>
      </c>
      <c r="C44" s="58"/>
      <c r="D44" s="58"/>
      <c r="E44" s="58"/>
      <c r="F44" s="58"/>
      <c r="G44" s="58"/>
      <c r="H44" s="58"/>
      <c r="I44" s="58"/>
      <c r="J44" s="58"/>
      <c r="K44" s="59">
        <f t="shared" si="6"/>
        <v>0</v>
      </c>
      <c r="L44" s="58"/>
      <c r="M44" s="59">
        <f t="shared" si="7"/>
        <v>0</v>
      </c>
    </row>
    <row r="45" spans="1:13" s="17" customFormat="1" ht="70.5" customHeight="1" thickBot="1">
      <c r="A45" s="27" t="s">
        <v>90</v>
      </c>
      <c r="B45" s="29" t="s">
        <v>91</v>
      </c>
      <c r="C45" s="58"/>
      <c r="D45" s="58"/>
      <c r="E45" s="58"/>
      <c r="F45" s="58"/>
      <c r="G45" s="58"/>
      <c r="H45" s="58"/>
      <c r="I45" s="58"/>
      <c r="J45" s="58"/>
      <c r="K45" s="59">
        <f t="shared" si="6"/>
        <v>0</v>
      </c>
      <c r="L45" s="58"/>
      <c r="M45" s="59">
        <f t="shared" si="7"/>
        <v>0</v>
      </c>
    </row>
    <row r="46" spans="1:13" s="17" customFormat="1" ht="37.5" customHeight="1" thickBot="1">
      <c r="A46" s="34"/>
      <c r="B46" s="29" t="s">
        <v>92</v>
      </c>
      <c r="C46" s="58"/>
      <c r="D46" s="58"/>
      <c r="E46" s="58"/>
      <c r="F46" s="58">
        <v>-683566</v>
      </c>
      <c r="G46" s="58"/>
      <c r="H46" s="58"/>
      <c r="I46" s="58"/>
      <c r="J46" s="58">
        <v>683566</v>
      </c>
      <c r="K46" s="59"/>
      <c r="L46" s="58"/>
      <c r="M46" s="59"/>
    </row>
    <row r="47" spans="1:13" s="17" customFormat="1" ht="15" thickBot="1">
      <c r="A47" s="34"/>
      <c r="B47" s="29" t="s">
        <v>93</v>
      </c>
      <c r="C47" s="58"/>
      <c r="D47" s="58"/>
      <c r="E47" s="58"/>
      <c r="F47" s="58"/>
      <c r="G47" s="58"/>
      <c r="H47" s="58"/>
      <c r="I47" s="58"/>
      <c r="J47" s="58"/>
      <c r="K47" s="59">
        <f t="shared" si="6"/>
        <v>0</v>
      </c>
      <c r="L47" s="58"/>
      <c r="M47" s="59">
        <f t="shared" si="7"/>
        <v>0</v>
      </c>
    </row>
    <row r="48" spans="1:13" s="17" customFormat="1" ht="26.25" customHeight="1" thickBot="1">
      <c r="A48" s="27" t="s">
        <v>94</v>
      </c>
      <c r="B48" s="30" t="s">
        <v>95</v>
      </c>
      <c r="C48" s="58"/>
      <c r="D48" s="58"/>
      <c r="E48" s="58"/>
      <c r="F48" s="58"/>
      <c r="G48" s="58"/>
      <c r="H48" s="58"/>
      <c r="I48" s="58"/>
      <c r="J48" s="60">
        <v>954555.684</v>
      </c>
      <c r="K48" s="59">
        <f t="shared" si="6"/>
        <v>954555.684</v>
      </c>
      <c r="L48" s="58"/>
      <c r="M48" s="59">
        <f t="shared" si="7"/>
        <v>954555.684</v>
      </c>
    </row>
    <row r="49" spans="1:13" s="17" customFormat="1" ht="23.25" thickBot="1">
      <c r="A49" s="27" t="s">
        <v>96</v>
      </c>
      <c r="B49" s="28" t="s">
        <v>97</v>
      </c>
      <c r="C49" s="58">
        <f aca="true" t="shared" si="9" ref="C49:I49">+SUM(C42:C48)</f>
        <v>0</v>
      </c>
      <c r="D49" s="58">
        <f t="shared" si="9"/>
        <v>0</v>
      </c>
      <c r="E49" s="58">
        <f t="shared" si="9"/>
        <v>0</v>
      </c>
      <c r="F49" s="58">
        <f>+SUM(F42:F48)</f>
        <v>-700939.373</v>
      </c>
      <c r="G49" s="58">
        <f t="shared" si="9"/>
        <v>0</v>
      </c>
      <c r="H49" s="58">
        <f t="shared" si="9"/>
        <v>0</v>
      </c>
      <c r="I49" s="58">
        <f t="shared" si="9"/>
        <v>0</v>
      </c>
      <c r="J49" s="60">
        <f>+SUM(J42:J48)</f>
        <v>1638121.684</v>
      </c>
      <c r="K49" s="59">
        <f>+SUM(C49:J49)</f>
        <v>937182.3109999999</v>
      </c>
      <c r="L49" s="58">
        <f>+SUM(L42:L48)</f>
        <v>0</v>
      </c>
      <c r="M49" s="59">
        <f>+K49+L49</f>
        <v>937182.3109999999</v>
      </c>
    </row>
    <row r="50" spans="1:13" s="17" customFormat="1" ht="25.5" customHeight="1" thickBot="1">
      <c r="A50" s="27" t="s">
        <v>98</v>
      </c>
      <c r="B50" s="29" t="s">
        <v>99</v>
      </c>
      <c r="C50" s="58"/>
      <c r="D50" s="58"/>
      <c r="E50" s="58"/>
      <c r="F50" s="58"/>
      <c r="G50" s="58"/>
      <c r="H50" s="58"/>
      <c r="I50" s="58"/>
      <c r="J50" s="58"/>
      <c r="K50" s="59">
        <f t="shared" si="6"/>
        <v>0</v>
      </c>
      <c r="L50" s="58"/>
      <c r="M50" s="59">
        <f t="shared" si="7"/>
        <v>0</v>
      </c>
    </row>
    <row r="51" spans="1:13" s="17" customFormat="1" ht="25.5" customHeight="1" thickBot="1">
      <c r="A51" s="27"/>
      <c r="B51" s="29" t="s">
        <v>100</v>
      </c>
      <c r="C51" s="58"/>
      <c r="D51" s="58"/>
      <c r="E51" s="58"/>
      <c r="F51" s="58"/>
      <c r="G51" s="58"/>
      <c r="H51" s="58"/>
      <c r="I51" s="58"/>
      <c r="J51" s="58"/>
      <c r="K51" s="59">
        <f t="shared" si="6"/>
        <v>0</v>
      </c>
      <c r="L51" s="58"/>
      <c r="M51" s="59">
        <f t="shared" si="7"/>
        <v>0</v>
      </c>
    </row>
    <row r="52" spans="1:13" s="17" customFormat="1" ht="27" customHeight="1" thickBot="1">
      <c r="A52" s="27" t="s">
        <v>98</v>
      </c>
      <c r="B52" s="29" t="s">
        <v>101</v>
      </c>
      <c r="C52" s="58"/>
      <c r="D52" s="58"/>
      <c r="E52" s="58"/>
      <c r="F52" s="58"/>
      <c r="G52" s="58"/>
      <c r="H52" s="58"/>
      <c r="I52" s="58"/>
      <c r="J52" s="58"/>
      <c r="K52" s="59">
        <f t="shared" si="6"/>
        <v>0</v>
      </c>
      <c r="L52" s="58"/>
      <c r="M52" s="59">
        <f t="shared" si="7"/>
        <v>0</v>
      </c>
    </row>
    <row r="53" spans="1:13" s="17" customFormat="1" ht="23.25" customHeight="1" thickBot="1">
      <c r="A53" s="27" t="s">
        <v>98</v>
      </c>
      <c r="B53" s="29" t="s">
        <v>102</v>
      </c>
      <c r="C53" s="58"/>
      <c r="D53" s="58"/>
      <c r="E53" s="58"/>
      <c r="F53" s="58"/>
      <c r="G53" s="58"/>
      <c r="H53" s="58"/>
      <c r="I53" s="58"/>
      <c r="J53" s="58"/>
      <c r="K53" s="59">
        <f t="shared" si="6"/>
        <v>0</v>
      </c>
      <c r="L53" s="58"/>
      <c r="M53" s="59">
        <f t="shared" si="7"/>
        <v>0</v>
      </c>
    </row>
    <row r="54" spans="1:13" s="17" customFormat="1" ht="27.75" customHeight="1" thickBot="1">
      <c r="A54" s="27" t="s">
        <v>98</v>
      </c>
      <c r="B54" s="29" t="s">
        <v>103</v>
      </c>
      <c r="C54" s="58"/>
      <c r="D54" s="58"/>
      <c r="E54" s="58"/>
      <c r="F54" s="58"/>
      <c r="G54" s="58"/>
      <c r="H54" s="58"/>
      <c r="I54" s="58"/>
      <c r="J54" s="58"/>
      <c r="K54" s="59">
        <f t="shared" si="6"/>
        <v>0</v>
      </c>
      <c r="L54" s="58"/>
      <c r="M54" s="59">
        <f t="shared" si="7"/>
        <v>0</v>
      </c>
    </row>
    <row r="55" spans="1:13" s="17" customFormat="1" ht="25.5" customHeight="1" thickBot="1">
      <c r="A55" s="27"/>
      <c r="B55" s="29" t="s">
        <v>104</v>
      </c>
      <c r="C55" s="58"/>
      <c r="D55" s="58"/>
      <c r="E55" s="58"/>
      <c r="F55" s="58"/>
      <c r="G55" s="58"/>
      <c r="H55" s="58"/>
      <c r="I55" s="58"/>
      <c r="J55" s="58"/>
      <c r="K55" s="59">
        <f t="shared" si="6"/>
        <v>0</v>
      </c>
      <c r="L55" s="58"/>
      <c r="M55" s="59">
        <f t="shared" si="7"/>
        <v>0</v>
      </c>
    </row>
    <row r="56" spans="1:13" s="17" customFormat="1" ht="35.25" customHeight="1" thickBot="1">
      <c r="A56" s="27" t="s">
        <v>98</v>
      </c>
      <c r="B56" s="29" t="s">
        <v>105</v>
      </c>
      <c r="C56" s="58"/>
      <c r="D56" s="58"/>
      <c r="E56" s="58"/>
      <c r="F56" s="58"/>
      <c r="G56" s="58"/>
      <c r="H56" s="58"/>
      <c r="I56" s="58"/>
      <c r="J56" s="58"/>
      <c r="K56" s="59">
        <f t="shared" si="6"/>
        <v>0</v>
      </c>
      <c r="L56" s="58"/>
      <c r="M56" s="59">
        <f t="shared" si="7"/>
        <v>0</v>
      </c>
    </row>
    <row r="57" spans="1:13" s="17" customFormat="1" ht="27" customHeight="1" thickBot="1">
      <c r="A57" s="27" t="s">
        <v>98</v>
      </c>
      <c r="B57" s="29" t="s">
        <v>106</v>
      </c>
      <c r="C57" s="58"/>
      <c r="D57" s="58"/>
      <c r="E57" s="58"/>
      <c r="F57" s="58"/>
      <c r="G57" s="58"/>
      <c r="H57" s="58"/>
      <c r="I57" s="58"/>
      <c r="J57" s="58">
        <v>-428420</v>
      </c>
      <c r="K57" s="59">
        <f t="shared" si="6"/>
        <v>-428420</v>
      </c>
      <c r="L57" s="58"/>
      <c r="M57" s="59">
        <f t="shared" si="7"/>
        <v>-428420</v>
      </c>
    </row>
    <row r="58" spans="1:13" s="17" customFormat="1" ht="20.25" customHeight="1" thickBot="1">
      <c r="A58" s="27"/>
      <c r="B58" s="35" t="s">
        <v>107</v>
      </c>
      <c r="C58" s="58">
        <f aca="true" t="shared" si="10" ref="C58:I58">+C36+C49+SUM(C50:C57)</f>
        <v>1712762</v>
      </c>
      <c r="D58" s="58">
        <f t="shared" si="10"/>
        <v>-38924</v>
      </c>
      <c r="E58" s="58">
        <f t="shared" si="10"/>
        <v>0</v>
      </c>
      <c r="F58" s="58">
        <f>+F36+F49</f>
        <v>7053516.100000001</v>
      </c>
      <c r="G58" s="58">
        <f t="shared" si="10"/>
        <v>0</v>
      </c>
      <c r="H58" s="58">
        <f t="shared" si="10"/>
        <v>0</v>
      </c>
      <c r="I58" s="58">
        <f t="shared" si="10"/>
        <v>0</v>
      </c>
      <c r="J58" s="61">
        <f>+J36+J49+SUM(J50:J57)</f>
        <v>6234392.960999999</v>
      </c>
      <c r="K58" s="59">
        <f>+SUM(C58:J58)</f>
        <v>14961747.061</v>
      </c>
      <c r="L58" s="58">
        <f>+L35+L49+SUM(L50:L57)</f>
        <v>0</v>
      </c>
      <c r="M58" s="59">
        <f>+K58+L58</f>
        <v>14961747.061</v>
      </c>
    </row>
    <row r="59" spans="1:13" s="17" customFormat="1" ht="15">
      <c r="A59" s="36"/>
      <c r="B59" s="37"/>
      <c r="C59" s="38"/>
      <c r="D59" s="38"/>
      <c r="E59" s="38"/>
      <c r="F59" s="38"/>
      <c r="G59" s="38"/>
      <c r="H59" s="38"/>
      <c r="I59" s="38"/>
      <c r="J59" s="39"/>
      <c r="K59" s="339"/>
      <c r="L59" s="38"/>
      <c r="M59" s="41"/>
    </row>
    <row r="60" spans="1:13" s="17" customFormat="1" ht="15">
      <c r="A60" s="36"/>
      <c r="B60" s="42"/>
      <c r="C60" s="38"/>
      <c r="D60" s="38"/>
      <c r="E60" s="360"/>
      <c r="F60" s="38"/>
      <c r="G60" s="38"/>
      <c r="H60" s="38"/>
      <c r="I60" s="38"/>
      <c r="J60" s="39"/>
      <c r="K60" s="339"/>
      <c r="L60" s="38"/>
      <c r="M60" s="41"/>
    </row>
    <row r="61" spans="2:6" s="17" customFormat="1" ht="15">
      <c r="B61" s="43" t="s">
        <v>63</v>
      </c>
      <c r="F61" s="361"/>
    </row>
    <row r="62" s="17" customFormat="1" ht="12.75">
      <c r="B62" s="340"/>
    </row>
    <row r="63" s="17" customFormat="1" ht="15">
      <c r="B63" s="43" t="s">
        <v>64</v>
      </c>
    </row>
    <row r="77" ht="12.75">
      <c r="K77">
        <f>9123995+3108450</f>
        <v>12232445</v>
      </c>
    </row>
  </sheetData>
  <sheetProtection/>
  <mergeCells count="13">
    <mergeCell ref="F10:F11"/>
    <mergeCell ref="G10:G11"/>
    <mergeCell ref="H10:H11"/>
    <mergeCell ref="I10:I11"/>
    <mergeCell ref="J10:J11"/>
    <mergeCell ref="K10:K11"/>
    <mergeCell ref="L10:L11"/>
    <mergeCell ref="M10:M11"/>
    <mergeCell ref="B8:H8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S69"/>
  <sheetViews>
    <sheetView zoomScalePageLayoutView="0" workbookViewId="0" topLeftCell="A40">
      <selection activeCell="AO44" sqref="AO44:AO45"/>
    </sheetView>
  </sheetViews>
  <sheetFormatPr defaultColWidth="37.125" defaultRowHeight="12.75"/>
  <cols>
    <col min="1" max="1" width="34.625" style="0" customWidth="1"/>
    <col min="2" max="2" width="15.375" style="0" hidden="1" customWidth="1"/>
    <col min="3" max="3" width="15.75390625" style="0" hidden="1" customWidth="1"/>
    <col min="4" max="4" width="0.2421875" style="0" customWidth="1"/>
    <col min="5" max="5" width="20.125" style="0" hidden="1" customWidth="1"/>
    <col min="6" max="6" width="18.00390625" style="0" hidden="1" customWidth="1"/>
    <col min="7" max="7" width="22.25390625" style="0" hidden="1" customWidth="1"/>
    <col min="8" max="8" width="19.625" style="0" hidden="1" customWidth="1"/>
    <col min="9" max="9" width="19.375" style="0" hidden="1" customWidth="1"/>
    <col min="10" max="10" width="13.75390625" style="0" hidden="1" customWidth="1"/>
    <col min="11" max="11" width="15.25390625" style="0" hidden="1" customWidth="1"/>
    <col min="12" max="12" width="18.125" style="0" hidden="1" customWidth="1"/>
    <col min="13" max="13" width="16.875" style="0" hidden="1" customWidth="1"/>
    <col min="14" max="14" width="0.12890625" style="0" customWidth="1"/>
    <col min="15" max="15" width="15.125" style="0" hidden="1" customWidth="1"/>
    <col min="16" max="16" width="15.00390625" style="0" hidden="1" customWidth="1"/>
    <col min="17" max="17" width="13.25390625" style="0" hidden="1" customWidth="1"/>
    <col min="18" max="18" width="13.00390625" style="0" hidden="1" customWidth="1"/>
    <col min="19" max="19" width="11.125" style="0" hidden="1" customWidth="1"/>
    <col min="20" max="20" width="12.125" style="0" hidden="1" customWidth="1"/>
    <col min="21" max="21" width="9.375" style="0" hidden="1" customWidth="1"/>
    <col min="22" max="22" width="12.875" style="0" hidden="1" customWidth="1"/>
    <col min="23" max="23" width="7.00390625" style="0" hidden="1" customWidth="1"/>
    <col min="24" max="24" width="12.625" style="0" hidden="1" customWidth="1"/>
    <col min="25" max="25" width="11.125" style="0" hidden="1" customWidth="1"/>
    <col min="26" max="26" width="12.375" style="0" hidden="1" customWidth="1"/>
    <col min="27" max="27" width="13.375" style="0" hidden="1" customWidth="1"/>
    <col min="28" max="28" width="15.875" style="0" hidden="1" customWidth="1"/>
    <col min="29" max="29" width="13.125" style="0" hidden="1" customWidth="1"/>
    <col min="30" max="30" width="0.12890625" style="0" hidden="1" customWidth="1"/>
    <col min="31" max="31" width="12.00390625" style="0" hidden="1" customWidth="1"/>
    <col min="32" max="32" width="14.375" style="0" hidden="1" customWidth="1"/>
    <col min="33" max="33" width="14.875" style="0" hidden="1" customWidth="1"/>
    <col min="34" max="34" width="20.125" style="0" hidden="1" customWidth="1"/>
    <col min="35" max="35" width="14.125" style="0" customWidth="1"/>
    <col min="36" max="36" width="13.75390625" style="0" customWidth="1"/>
    <col min="37" max="37" width="15.875" style="0" customWidth="1"/>
    <col min="38" max="38" width="13.375" style="0" customWidth="1"/>
    <col min="39" max="39" width="14.875" style="0" customWidth="1"/>
    <col min="40" max="40" width="21.00390625" style="0" customWidth="1"/>
    <col min="41" max="41" width="18.375" style="0" customWidth="1"/>
    <col min="42" max="42" width="16.125" style="0" customWidth="1"/>
    <col min="43" max="43" width="18.625" style="0" customWidth="1"/>
  </cols>
  <sheetData>
    <row r="1" ht="35.25" customHeight="1" thickBot="1">
      <c r="A1" s="248" t="s">
        <v>596</v>
      </c>
    </row>
    <row r="2" spans="1:43" ht="68.25" customHeight="1" thickBot="1">
      <c r="A2" s="249"/>
      <c r="B2" s="250">
        <v>41640</v>
      </c>
      <c r="C2" s="251">
        <v>41671</v>
      </c>
      <c r="D2" s="251">
        <v>41699</v>
      </c>
      <c r="E2" s="252" t="s">
        <v>597</v>
      </c>
      <c r="F2" s="253" t="s">
        <v>598</v>
      </c>
      <c r="G2" s="254"/>
      <c r="H2" s="255" t="s">
        <v>599</v>
      </c>
      <c r="I2" s="255" t="s">
        <v>600</v>
      </c>
      <c r="J2" s="256" t="s">
        <v>601</v>
      </c>
      <c r="K2" s="253" t="s">
        <v>602</v>
      </c>
      <c r="L2" s="257" t="s">
        <v>603</v>
      </c>
      <c r="M2" s="253" t="s">
        <v>604</v>
      </c>
      <c r="N2" s="257" t="s">
        <v>605</v>
      </c>
      <c r="O2" s="253" t="s">
        <v>606</v>
      </c>
      <c r="P2" s="257" t="s">
        <v>607</v>
      </c>
      <c r="Q2" s="258" t="s">
        <v>604</v>
      </c>
      <c r="R2" s="257" t="s">
        <v>608</v>
      </c>
      <c r="S2" s="259" t="s">
        <v>609</v>
      </c>
      <c r="T2" s="257" t="s">
        <v>610</v>
      </c>
      <c r="U2" s="258" t="s">
        <v>604</v>
      </c>
      <c r="V2" s="257" t="s">
        <v>611</v>
      </c>
      <c r="W2" s="259" t="s">
        <v>652</v>
      </c>
      <c r="X2" s="257" t="s">
        <v>653</v>
      </c>
      <c r="Y2" s="258" t="s">
        <v>604</v>
      </c>
      <c r="Z2" s="257" t="s">
        <v>654</v>
      </c>
      <c r="AA2" s="259" t="s">
        <v>655</v>
      </c>
      <c r="AB2" s="257" t="s">
        <v>671</v>
      </c>
      <c r="AC2" s="258" t="s">
        <v>604</v>
      </c>
      <c r="AD2" s="257" t="s">
        <v>672</v>
      </c>
      <c r="AE2" s="253" t="s">
        <v>673</v>
      </c>
      <c r="AF2" s="257" t="s">
        <v>674</v>
      </c>
      <c r="AG2" s="258" t="s">
        <v>604</v>
      </c>
      <c r="AH2" s="257" t="s">
        <v>675</v>
      </c>
      <c r="AI2" s="253" t="s">
        <v>676</v>
      </c>
      <c r="AJ2" s="257" t="s">
        <v>677</v>
      </c>
      <c r="AK2" s="258" t="s">
        <v>678</v>
      </c>
      <c r="AL2" s="257" t="s">
        <v>679</v>
      </c>
      <c r="AM2" s="253" t="s">
        <v>680</v>
      </c>
      <c r="AN2" s="257" t="s">
        <v>696</v>
      </c>
      <c r="AO2" s="258" t="s">
        <v>678</v>
      </c>
      <c r="AP2" s="257" t="s">
        <v>697</v>
      </c>
      <c r="AQ2" s="253" t="s">
        <v>698</v>
      </c>
    </row>
    <row r="3" spans="1:43" ht="23.25" customHeight="1">
      <c r="A3" s="260"/>
      <c r="B3" s="261"/>
      <c r="C3" s="261"/>
      <c r="D3" s="261"/>
      <c r="E3" s="261"/>
      <c r="F3" s="261"/>
      <c r="G3" s="261"/>
      <c r="H3" s="262"/>
      <c r="I3" s="261"/>
      <c r="J3" s="261"/>
      <c r="K3" s="261"/>
      <c r="L3" s="261"/>
      <c r="M3" s="261"/>
      <c r="N3" s="261"/>
      <c r="O3" s="261"/>
      <c r="P3" s="261"/>
      <c r="Q3" s="263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</row>
    <row r="4" spans="1:44" ht="23.25" customHeight="1">
      <c r="A4" s="264" t="s">
        <v>612</v>
      </c>
      <c r="B4" s="262">
        <v>807228061.65</v>
      </c>
      <c r="C4" s="262">
        <v>754472128.27</v>
      </c>
      <c r="D4" s="262">
        <v>757455877.82</v>
      </c>
      <c r="E4" s="262">
        <f>B4+C4+D4</f>
        <v>2319156067.7400002</v>
      </c>
      <c r="F4" s="262">
        <f>E4/1000</f>
        <v>2319156.0677400003</v>
      </c>
      <c r="G4" s="262"/>
      <c r="H4" s="262">
        <v>685213518.51</v>
      </c>
      <c r="I4" s="261">
        <f>H4/1000</f>
        <v>685213.51851</v>
      </c>
      <c r="J4" s="262">
        <f>E4+H4</f>
        <v>3004369586.25</v>
      </c>
      <c r="K4" s="262">
        <f>F4+I4</f>
        <v>3004369.58625</v>
      </c>
      <c r="L4" s="261">
        <v>650882508.55</v>
      </c>
      <c r="M4" s="262">
        <f>L4+J4</f>
        <v>3655252094.8</v>
      </c>
      <c r="N4" s="262">
        <f>L4/1000</f>
        <v>650882.5085499999</v>
      </c>
      <c r="O4" s="262">
        <f>K4+N4</f>
        <v>3655252.0948</v>
      </c>
      <c r="P4" s="262">
        <v>652869495.55</v>
      </c>
      <c r="Q4" s="265">
        <f>M4+P4</f>
        <v>4308121590.35</v>
      </c>
      <c r="R4" s="261">
        <f>P4/1000</f>
        <v>652869.49555</v>
      </c>
      <c r="S4" s="262">
        <f>(O4+R4)</f>
        <v>4308121.59035</v>
      </c>
      <c r="T4" s="262">
        <v>684790829.83</v>
      </c>
      <c r="U4" s="262">
        <f>Q4+T4</f>
        <v>4992912420.18</v>
      </c>
      <c r="V4" s="261">
        <f>T4/1000</f>
        <v>684790.8298300001</v>
      </c>
      <c r="W4" s="262">
        <f>S4+V4</f>
        <v>4992912.42018</v>
      </c>
      <c r="X4" s="262">
        <v>710108381.79</v>
      </c>
      <c r="Y4" s="262">
        <f>U4+X4</f>
        <v>5703020801.97</v>
      </c>
      <c r="Z4" s="261">
        <f>X4/1000</f>
        <v>710108.38179</v>
      </c>
      <c r="AA4" s="262">
        <f>W4+Z4</f>
        <v>5703020.80197</v>
      </c>
      <c r="AB4" s="262">
        <v>671340361.99</v>
      </c>
      <c r="AC4" s="262">
        <f>Y4+AB4</f>
        <v>6374361163.96</v>
      </c>
      <c r="AD4" s="261">
        <f>AB4/1000</f>
        <v>671340.36199</v>
      </c>
      <c r="AE4" s="262">
        <f>AA4+AD4</f>
        <v>6374361.1639600005</v>
      </c>
      <c r="AF4" s="262">
        <v>719392907.44</v>
      </c>
      <c r="AG4" s="262">
        <f>AC4+AF4</f>
        <v>7093754071.4</v>
      </c>
      <c r="AH4" s="261">
        <f>AF4/1000</f>
        <v>719392.9074400001</v>
      </c>
      <c r="AI4" s="262">
        <f>AE4+AH4</f>
        <v>7093754.071400001</v>
      </c>
      <c r="AJ4" s="262">
        <v>779705310.88</v>
      </c>
      <c r="AK4" s="262">
        <f>AG4+AJ4</f>
        <v>7873459382.28</v>
      </c>
      <c r="AL4" s="261">
        <f>AJ4/1000</f>
        <v>779705.31088</v>
      </c>
      <c r="AM4" s="262">
        <f>AI4+AL4</f>
        <v>7873459.3822800005</v>
      </c>
      <c r="AN4" s="261">
        <v>781750887.82</v>
      </c>
      <c r="AO4" s="262">
        <f>AK4+AN4</f>
        <v>8655210270.1</v>
      </c>
      <c r="AP4" s="261">
        <f>AN4/1000</f>
        <v>781750.8878200001</v>
      </c>
      <c r="AQ4" s="262">
        <f>AM4+AP4</f>
        <v>8655210.270100001</v>
      </c>
      <c r="AR4" s="51"/>
    </row>
    <row r="5" spans="1:45" ht="23.25" customHeight="1">
      <c r="A5" s="264" t="s">
        <v>613</v>
      </c>
      <c r="B5" s="266">
        <v>539319098.29</v>
      </c>
      <c r="C5" s="266">
        <v>512398627.04</v>
      </c>
      <c r="D5" s="267">
        <v>503499849.45</v>
      </c>
      <c r="E5" s="262">
        <f>B5+C5+D5</f>
        <v>1555217574.78</v>
      </c>
      <c r="F5" s="262">
        <f>(E5-310541007+144563978)/1000</f>
        <v>1389240.54578</v>
      </c>
      <c r="G5" s="262"/>
      <c r="H5" s="266">
        <f>477022282.65+697790</f>
        <v>477720072.65</v>
      </c>
      <c r="I5" s="262">
        <f>(H5-103449986+48066692)/1000</f>
        <v>422336.77865</v>
      </c>
      <c r="J5" s="262">
        <f>E5+H5</f>
        <v>2032937647.4299998</v>
      </c>
      <c r="K5" s="262">
        <f>F5+I5</f>
        <v>1811577.32443</v>
      </c>
      <c r="L5" s="261">
        <f>526811376.35+21728</f>
        <v>526833104.35</v>
      </c>
      <c r="M5" s="262">
        <f>L5+J5</f>
        <v>2559770751.7799997</v>
      </c>
      <c r="N5" s="262">
        <f>(L5-103447682-21728+47792786)/1000</f>
        <v>471156.48035</v>
      </c>
      <c r="O5" s="262">
        <f>K5+N5</f>
        <v>2282733.80478</v>
      </c>
      <c r="P5" s="262">
        <f>525643688.93+1904985+9900</f>
        <v>527558573.93</v>
      </c>
      <c r="Q5" s="265">
        <f>M5+P5</f>
        <v>3087329325.7099996</v>
      </c>
      <c r="R5" s="261">
        <f>(P5-103812293-9900-1904985+49418165+9900)/1000</f>
        <v>471259.46093</v>
      </c>
      <c r="S5" s="262">
        <f>O5+R5</f>
        <v>2753993.26571</v>
      </c>
      <c r="T5" s="262">
        <v>516988967.83</v>
      </c>
      <c r="U5" s="262">
        <f>Q5+T5</f>
        <v>3604318293.5399995</v>
      </c>
      <c r="V5" s="261">
        <f>(T5-103974095)/1000+48408.064</f>
        <v>461422.93683</v>
      </c>
      <c r="W5" s="262">
        <f>S5+V5</f>
        <v>3215416.20254</v>
      </c>
      <c r="X5" s="262">
        <f>547406733.78+19898.52+495346</f>
        <v>547921978.3</v>
      </c>
      <c r="Y5" s="262">
        <f>U5+X5</f>
        <v>4152240271.839999</v>
      </c>
      <c r="Z5" s="261">
        <f>(X5-103950029+48417087)/1000</f>
        <v>492389.0363</v>
      </c>
      <c r="AA5" s="262">
        <f>W5+Z5</f>
        <v>3707805.23884</v>
      </c>
      <c r="AB5" s="262">
        <f>198806240.01+7697720.79+327664502.15</f>
        <v>534168462.9499999</v>
      </c>
      <c r="AC5" s="262">
        <f>Y5+AB5</f>
        <v>4686408734.789999</v>
      </c>
      <c r="AD5" s="261">
        <f>(AB5-103947991+48417087)/1000</f>
        <v>478637.5589499999</v>
      </c>
      <c r="AE5" s="262">
        <f>AA5+AD5</f>
        <v>4186442.7977899997</v>
      </c>
      <c r="AF5" s="262">
        <v>381130900.22</v>
      </c>
      <c r="AG5" s="262">
        <f>AC5+AF5</f>
        <v>5067539635.009999</v>
      </c>
      <c r="AH5" s="261">
        <f>(AF5-103959438+48428723)/1000</f>
        <v>325600.18522000004</v>
      </c>
      <c r="AI5" s="262">
        <f>AE5+AH5</f>
        <v>4512042.98301</v>
      </c>
      <c r="AJ5" s="262">
        <f>495464957.4-85247.29+87639.29+12989.22</f>
        <v>495480338.62</v>
      </c>
      <c r="AK5" s="262">
        <f>AG5+AJ5</f>
        <v>5563019973.629999</v>
      </c>
      <c r="AL5" s="261">
        <f>(AJ5-103949499+48428723)/1000</f>
        <v>439959.56262</v>
      </c>
      <c r="AM5" s="262">
        <f>AI5+AL5</f>
        <v>4952002.54563</v>
      </c>
      <c r="AN5" s="261">
        <f>795254180.53+4604.39</f>
        <v>795258784.92</v>
      </c>
      <c r="AO5" s="262">
        <f aca="true" t="shared" si="0" ref="AO5:AO47">AK5+AN5</f>
        <v>6358278758.549999</v>
      </c>
      <c r="AP5" s="261">
        <f>(AN5-145847922+51548841)/1000</f>
        <v>700959.70392</v>
      </c>
      <c r="AQ5" s="262">
        <f>AM5+AP5</f>
        <v>5652962.24955</v>
      </c>
      <c r="AR5" s="51"/>
      <c r="AS5" s="51"/>
    </row>
    <row r="6" spans="1:44" ht="23.25" customHeight="1" thickBot="1">
      <c r="A6" s="268" t="s">
        <v>614</v>
      </c>
      <c r="B6" s="269">
        <f>B4-B5</f>
        <v>267908963.36</v>
      </c>
      <c r="C6" s="269">
        <f>C4-C5</f>
        <v>242073501.22999996</v>
      </c>
      <c r="D6" s="269">
        <f>D4-D5</f>
        <v>253956028.37000006</v>
      </c>
      <c r="E6" s="269">
        <f>E4-E5</f>
        <v>763938492.9600003</v>
      </c>
      <c r="F6" s="269">
        <f>F4-F5</f>
        <v>929915.5219600003</v>
      </c>
      <c r="G6" s="269"/>
      <c r="H6" s="269">
        <f>H4-H5</f>
        <v>207493445.86</v>
      </c>
      <c r="I6" s="269">
        <f>I4-I5</f>
        <v>262876.73986</v>
      </c>
      <c r="J6" s="262">
        <f>E6+H6</f>
        <v>971431938.8200003</v>
      </c>
      <c r="K6" s="269">
        <f aca="true" t="shared" si="1" ref="K6:AF6">K4-K5</f>
        <v>1192792.2618200001</v>
      </c>
      <c r="L6" s="269">
        <f t="shared" si="1"/>
        <v>124049404.19999993</v>
      </c>
      <c r="M6" s="269">
        <f t="shared" si="1"/>
        <v>1095481343.0200005</v>
      </c>
      <c r="N6" s="269">
        <f t="shared" si="1"/>
        <v>179726.02819999988</v>
      </c>
      <c r="O6" s="269">
        <f t="shared" si="1"/>
        <v>1372518.2900200002</v>
      </c>
      <c r="P6" s="270">
        <f t="shared" si="1"/>
        <v>125310921.61999995</v>
      </c>
      <c r="Q6" s="271">
        <f t="shared" si="1"/>
        <v>1220792264.6400008</v>
      </c>
      <c r="R6" s="270">
        <f t="shared" si="1"/>
        <v>181610.03462</v>
      </c>
      <c r="S6" s="269">
        <f t="shared" si="1"/>
        <v>1554128.3246400002</v>
      </c>
      <c r="T6" s="269">
        <f t="shared" si="1"/>
        <v>167801862.00000006</v>
      </c>
      <c r="U6" s="269">
        <f t="shared" si="1"/>
        <v>1388594126.6400008</v>
      </c>
      <c r="V6" s="272">
        <f t="shared" si="1"/>
        <v>223367.89300000004</v>
      </c>
      <c r="W6" s="269">
        <f t="shared" si="1"/>
        <v>1777496.2176400004</v>
      </c>
      <c r="X6" s="269">
        <f t="shared" si="1"/>
        <v>162186403.49</v>
      </c>
      <c r="Y6" s="269">
        <f t="shared" si="1"/>
        <v>1550780530.130001</v>
      </c>
      <c r="Z6" s="272">
        <f t="shared" si="1"/>
        <v>217719.34549000004</v>
      </c>
      <c r="AA6" s="269">
        <f t="shared" si="1"/>
        <v>1995215.5631300006</v>
      </c>
      <c r="AB6" s="270">
        <f t="shared" si="1"/>
        <v>137171899.04000008</v>
      </c>
      <c r="AC6" s="270">
        <f t="shared" si="1"/>
        <v>1687952429.170001</v>
      </c>
      <c r="AD6" s="272">
        <f t="shared" si="1"/>
        <v>192702.8030400001</v>
      </c>
      <c r="AE6" s="269">
        <f>AA6+AD6</f>
        <v>2187918.3661700008</v>
      </c>
      <c r="AF6" s="269">
        <f t="shared" si="1"/>
        <v>338262007.22</v>
      </c>
      <c r="AG6" s="269">
        <f>AC6+AF6</f>
        <v>2026214436.390001</v>
      </c>
      <c r="AH6" s="272">
        <f>AH4-AH5</f>
        <v>393792.72222000005</v>
      </c>
      <c r="AI6" s="269">
        <f>AE6+AH6</f>
        <v>2581711.0883900006</v>
      </c>
      <c r="AJ6" s="269">
        <f>AJ4-AJ5</f>
        <v>284224972.26</v>
      </c>
      <c r="AK6" s="269">
        <f>AG6+AJ6</f>
        <v>2310439408.650001</v>
      </c>
      <c r="AL6" s="272">
        <f>AL4-AL5</f>
        <v>339745.74826</v>
      </c>
      <c r="AM6" s="269">
        <f>AI6+AL6</f>
        <v>2921456.836650001</v>
      </c>
      <c r="AN6" s="262">
        <f>AN4-AN5</f>
        <v>-13507897.099999905</v>
      </c>
      <c r="AO6" s="269">
        <f t="shared" si="0"/>
        <v>2296931511.550001</v>
      </c>
      <c r="AP6" s="269">
        <f>AP4-AP5</f>
        <v>80791.18390000006</v>
      </c>
      <c r="AQ6" s="269">
        <f>AQ4-AQ5</f>
        <v>3002248.0205500014</v>
      </c>
      <c r="AR6" s="51">
        <f>AO6+AO25</f>
        <v>2364059991.550001</v>
      </c>
    </row>
    <row r="7" spans="1:44" ht="23.25" customHeight="1" thickBot="1">
      <c r="A7" s="273"/>
      <c r="B7" s="261"/>
      <c r="C7" s="261"/>
      <c r="D7" s="261"/>
      <c r="E7" s="261"/>
      <c r="F7" s="261"/>
      <c r="G7" s="262"/>
      <c r="H7" s="261"/>
      <c r="I7" s="261"/>
      <c r="J7" s="261"/>
      <c r="K7" s="261"/>
      <c r="L7" s="261"/>
      <c r="M7" s="261"/>
      <c r="N7" s="261"/>
      <c r="O7" s="261"/>
      <c r="P7" s="262"/>
      <c r="Q7" s="263"/>
      <c r="R7" s="261"/>
      <c r="S7" s="261"/>
      <c r="T7" s="261"/>
      <c r="U7" s="262"/>
      <c r="V7" s="261"/>
      <c r="W7" s="261"/>
      <c r="X7" s="262"/>
      <c r="Y7" s="262"/>
      <c r="Z7" s="261"/>
      <c r="AA7" s="261"/>
      <c r="AB7" s="261"/>
      <c r="AC7" s="261"/>
      <c r="AD7" s="261"/>
      <c r="AE7" s="261"/>
      <c r="AF7" s="262"/>
      <c r="AG7" s="261"/>
      <c r="AH7" s="261"/>
      <c r="AI7" s="261"/>
      <c r="AJ7" s="262"/>
      <c r="AK7" s="261"/>
      <c r="AL7" s="261"/>
      <c r="AM7" s="261"/>
      <c r="AN7" s="261"/>
      <c r="AO7" s="262">
        <f t="shared" si="0"/>
        <v>0</v>
      </c>
      <c r="AP7" s="261"/>
      <c r="AQ7" s="261"/>
      <c r="AR7" s="51"/>
    </row>
    <row r="8" spans="1:44" ht="23.25" customHeight="1">
      <c r="A8" s="274" t="s">
        <v>615</v>
      </c>
      <c r="B8" s="269">
        <f>SUM(B9:B16)</f>
        <v>43460704.03</v>
      </c>
      <c r="C8" s="269">
        <f>SUM(C9:C12)</f>
        <v>119931703.15</v>
      </c>
      <c r="D8" s="269">
        <f>SUM(D9:D16)</f>
        <v>169659205.47</v>
      </c>
      <c r="E8" s="269">
        <f>SUM(E9:E16)</f>
        <v>333051612.65</v>
      </c>
      <c r="F8" s="269">
        <f>SUM(F9:F12)</f>
        <v>296009.47165</v>
      </c>
      <c r="G8" s="269"/>
      <c r="H8" s="269">
        <f>SUM(H9:H12)</f>
        <v>52816597.79</v>
      </c>
      <c r="I8" s="269">
        <f>SUM(I9:I12)</f>
        <v>52087.050789999994</v>
      </c>
      <c r="J8" s="269">
        <f aca="true" t="shared" si="2" ref="J8:O8">SUM(J9:J16)</f>
        <v>385868210.44</v>
      </c>
      <c r="K8" s="269">
        <f t="shared" si="2"/>
        <v>382950.02244000003</v>
      </c>
      <c r="L8" s="269">
        <f t="shared" si="2"/>
        <v>112392078.31</v>
      </c>
      <c r="M8" s="269">
        <f t="shared" si="2"/>
        <v>498260288.75</v>
      </c>
      <c r="N8" s="272">
        <f t="shared" si="2"/>
        <v>111679.90630999999</v>
      </c>
      <c r="O8" s="269">
        <f t="shared" si="2"/>
        <v>494629.92875</v>
      </c>
      <c r="P8" s="270">
        <f>SUM(P9:P16)</f>
        <v>108101437.42</v>
      </c>
      <c r="Q8" s="271">
        <f>SUM(Q9:Q16)</f>
        <v>606361726.1700001</v>
      </c>
      <c r="R8" s="270">
        <f>SUM(R9:R16)</f>
        <v>107389.26542</v>
      </c>
      <c r="S8" s="269">
        <f>SUM(S9:S14)</f>
        <v>602019.19417</v>
      </c>
      <c r="T8" s="270">
        <f>SUM(T9:T16)</f>
        <v>60920236.00000001</v>
      </c>
      <c r="U8" s="269">
        <f>SUM(U9:U16)</f>
        <v>667281962.17</v>
      </c>
      <c r="V8" s="272">
        <f>SUM(V9:V16)</f>
        <v>60225.49300000001</v>
      </c>
      <c r="W8" s="269">
        <f>SUM(W9:W16)</f>
        <v>662244.68717</v>
      </c>
      <c r="X8" s="269">
        <f>SUM(X9:X16)</f>
        <v>182788372.86</v>
      </c>
      <c r="Y8" s="269">
        <f>SUM(Y9:Y15)</f>
        <v>850070335.0299999</v>
      </c>
      <c r="Z8" s="272">
        <f aca="true" t="shared" si="3" ref="Z8:AM8">SUM(Z9:Z16)</f>
        <v>182058.82586</v>
      </c>
      <c r="AA8" s="269">
        <f t="shared" si="3"/>
        <v>844303.5130299999</v>
      </c>
      <c r="AB8" s="270">
        <f t="shared" si="3"/>
        <v>79457519.04</v>
      </c>
      <c r="AC8" s="270">
        <f t="shared" si="3"/>
        <v>929527854.0699999</v>
      </c>
      <c r="AD8" s="270">
        <f t="shared" si="3"/>
        <v>78728.55204000001</v>
      </c>
      <c r="AE8" s="270">
        <f t="shared" si="3"/>
        <v>923032.06507</v>
      </c>
      <c r="AF8" s="269">
        <f t="shared" si="3"/>
        <v>45650554.41</v>
      </c>
      <c r="AG8" s="269">
        <f t="shared" si="3"/>
        <v>975178408.4799999</v>
      </c>
      <c r="AH8" s="272">
        <f t="shared" si="3"/>
        <v>44921.985409999994</v>
      </c>
      <c r="AI8" s="269">
        <f t="shared" si="3"/>
        <v>967954.0504799999</v>
      </c>
      <c r="AJ8" s="269">
        <f t="shared" si="3"/>
        <v>128583562.14999999</v>
      </c>
      <c r="AK8" s="269">
        <f t="shared" si="3"/>
        <v>1103761970.6299999</v>
      </c>
      <c r="AL8" s="272">
        <f t="shared" si="3"/>
        <v>127857.26315</v>
      </c>
      <c r="AM8" s="269">
        <f t="shared" si="3"/>
        <v>1095811.31363</v>
      </c>
      <c r="AN8" s="269">
        <f>SUM(AN9:AN16)</f>
        <v>169947815.95999998</v>
      </c>
      <c r="AO8" s="269">
        <f t="shared" si="0"/>
        <v>1273709786.59</v>
      </c>
      <c r="AP8" s="269">
        <f>SUM(AP9:AP16)</f>
        <v>169249.78796</v>
      </c>
      <c r="AQ8" s="269">
        <f>SUM(AQ9:AQ13)</f>
        <v>1265061.1015899999</v>
      </c>
      <c r="AR8" s="51"/>
    </row>
    <row r="9" spans="1:44" ht="23.25" customHeight="1">
      <c r="A9" s="264" t="s">
        <v>616</v>
      </c>
      <c r="B9" s="262">
        <v>24463693.43</v>
      </c>
      <c r="C9" s="262">
        <v>101837510.63</v>
      </c>
      <c r="D9" s="262">
        <v>42854929.38</v>
      </c>
      <c r="E9" s="262">
        <f>B9+C9+D9</f>
        <v>169156133.44</v>
      </c>
      <c r="F9" s="262">
        <f>(E9-4886653+2698012)/1000</f>
        <v>166967.49244</v>
      </c>
      <c r="G9" s="262"/>
      <c r="H9" s="275">
        <f>32455622.88-36540-164.71</f>
        <v>32418918.169999998</v>
      </c>
      <c r="I9" s="275">
        <f>(H9-1623533+893986)/1000</f>
        <v>31689.37117</v>
      </c>
      <c r="J9" s="262">
        <f aca="true" t="shared" si="4" ref="J9:K13">E9+H9</f>
        <v>201575051.60999998</v>
      </c>
      <c r="K9" s="262">
        <f t="shared" si="4"/>
        <v>198656.86361</v>
      </c>
      <c r="L9" s="262">
        <v>106630088.02</v>
      </c>
      <c r="M9" s="262">
        <f>J9+L9</f>
        <v>308205139.63</v>
      </c>
      <c r="N9" s="261">
        <f>(L9-1604169+891997)/1000</f>
        <v>105917.91601999999</v>
      </c>
      <c r="O9" s="262">
        <f aca="true" t="shared" si="5" ref="O9:O16">K9+N9</f>
        <v>304574.77963</v>
      </c>
      <c r="P9" s="262">
        <f>53061584.57+12500</f>
        <v>53074084.57</v>
      </c>
      <c r="Q9" s="265">
        <f aca="true" t="shared" si="6" ref="Q9:Q16">M9+P9</f>
        <v>361279224.2</v>
      </c>
      <c r="R9" s="261">
        <f>(P9-1604028-12500+891856+12500)/1000</f>
        <v>52361.91257</v>
      </c>
      <c r="S9" s="262">
        <f aca="true" t="shared" si="7" ref="S9:S14">O9+R9</f>
        <v>356936.6922</v>
      </c>
      <c r="T9" s="261">
        <f>40260257.2+633782.31</f>
        <v>40894039.510000005</v>
      </c>
      <c r="U9" s="262">
        <f aca="true" t="shared" si="8" ref="U9:U16">Q9+T9</f>
        <v>402173263.71</v>
      </c>
      <c r="V9" s="261">
        <f>(T9-1603974)/1000+909.231</f>
        <v>40199.29651000001</v>
      </c>
      <c r="W9" s="262">
        <f aca="true" t="shared" si="9" ref="W9:W16">S9+V9</f>
        <v>397135.98871</v>
      </c>
      <c r="X9" s="262">
        <f>163640452.37-495346</f>
        <v>163145106.37</v>
      </c>
      <c r="Y9" s="262">
        <f aca="true" t="shared" si="10" ref="Y9:Y16">U9+X9</f>
        <v>565318370.0799999</v>
      </c>
      <c r="Z9" s="261">
        <f>(X9-1603974+874427)/1000</f>
        <v>162415.55937</v>
      </c>
      <c r="AA9" s="262">
        <f>W9+Z9</f>
        <v>559551.54808</v>
      </c>
      <c r="AB9" s="261">
        <f>25781992.92+102096.98+67974.18</f>
        <v>25952064.080000002</v>
      </c>
      <c r="AC9" s="262">
        <f aca="true" t="shared" si="11" ref="AC9:AC15">Y9+AB9</f>
        <v>591270434.16</v>
      </c>
      <c r="AD9" s="261">
        <f>(AB9-1603394+874427)/1000</f>
        <v>25223.097080000003</v>
      </c>
      <c r="AE9" s="262">
        <f aca="true" t="shared" si="12" ref="AE9:AE16">AA9+AD9</f>
        <v>584774.64516</v>
      </c>
      <c r="AF9" s="262">
        <v>29828845.06</v>
      </c>
      <c r="AG9" s="262">
        <f>AC9+AF9</f>
        <v>621099279.2199999</v>
      </c>
      <c r="AH9" s="261">
        <f>(AF9-1590498+861929)/1000</f>
        <v>29100.27606</v>
      </c>
      <c r="AI9" s="262">
        <f aca="true" t="shared" si="13" ref="AI9:AI16">AE9+AH9</f>
        <v>613874.9212199999</v>
      </c>
      <c r="AJ9" s="262">
        <f>111747245.31+85247.29-87639.29+240000</f>
        <v>111984853.31</v>
      </c>
      <c r="AK9" s="262">
        <f>AG9+AJ9</f>
        <v>733084132.53</v>
      </c>
      <c r="AL9" s="261">
        <f>(AJ9-1588648+862349)/1000</f>
        <v>111258.55431</v>
      </c>
      <c r="AM9" s="262">
        <f aca="true" t="shared" si="14" ref="AM9:AM16">AI9+AL9</f>
        <v>725133.4755299999</v>
      </c>
      <c r="AN9" s="261">
        <f>84335941.41+89476-77142.86</f>
        <v>84348274.55</v>
      </c>
      <c r="AO9" s="262">
        <f>AK9+AN9</f>
        <v>817432407.0799999</v>
      </c>
      <c r="AP9" s="261">
        <f>(AN9-1559857+861829)/1000</f>
        <v>83650.24655</v>
      </c>
      <c r="AQ9" s="262">
        <f>AM9+AP9</f>
        <v>808783.72208</v>
      </c>
      <c r="AR9" s="51">
        <f>AO9+AO10+AO11+AO20+AO21+AO23+AO27+AO28+AO29-AO35-AO36-AO37-AO39</f>
        <v>1063464071.1999997</v>
      </c>
    </row>
    <row r="10" spans="1:44" ht="32.25" customHeight="1">
      <c r="A10" s="264" t="s">
        <v>617</v>
      </c>
      <c r="B10" s="262">
        <v>235007</v>
      </c>
      <c r="C10" s="262">
        <v>355680.2</v>
      </c>
      <c r="D10" s="262">
        <v>55293461.4</v>
      </c>
      <c r="E10" s="51">
        <f>B10+C10+D10</f>
        <v>55884148.6</v>
      </c>
      <c r="F10" s="262">
        <f>E10/1000</f>
        <v>55884.1486</v>
      </c>
      <c r="G10" s="262"/>
      <c r="H10" s="262">
        <v>356509</v>
      </c>
      <c r="I10" s="261">
        <f>H10/1000</f>
        <v>356.509</v>
      </c>
      <c r="J10" s="262">
        <f t="shared" si="4"/>
        <v>56240657.6</v>
      </c>
      <c r="K10" s="262">
        <f t="shared" si="4"/>
        <v>56240.6576</v>
      </c>
      <c r="L10" s="261">
        <v>219286.2</v>
      </c>
      <c r="M10" s="262">
        <f>J10+L10</f>
        <v>56459943.800000004</v>
      </c>
      <c r="N10" s="261">
        <f>L10/1000</f>
        <v>219.2862</v>
      </c>
      <c r="O10" s="262">
        <f t="shared" si="5"/>
        <v>56459.9438</v>
      </c>
      <c r="P10" s="262">
        <v>219163</v>
      </c>
      <c r="Q10" s="265">
        <f t="shared" si="6"/>
        <v>56679106.800000004</v>
      </c>
      <c r="R10" s="261">
        <f>P10/1000</f>
        <v>219.163</v>
      </c>
      <c r="S10" s="262">
        <f t="shared" si="7"/>
        <v>56679.1068</v>
      </c>
      <c r="T10" s="262">
        <v>256802.2</v>
      </c>
      <c r="U10" s="262">
        <f t="shared" si="8"/>
        <v>56935909.00000001</v>
      </c>
      <c r="V10" s="261">
        <f>T10/1000</f>
        <v>256.8022</v>
      </c>
      <c r="W10" s="262">
        <f t="shared" si="9"/>
        <v>56935.909</v>
      </c>
      <c r="X10" s="262">
        <v>201359.8</v>
      </c>
      <c r="Y10" s="262">
        <f t="shared" si="10"/>
        <v>57137268.800000004</v>
      </c>
      <c r="Z10" s="261">
        <f>X10/1000</f>
        <v>201.35979999999998</v>
      </c>
      <c r="AA10" s="262">
        <f>W10+Z10</f>
        <v>57137.2688</v>
      </c>
      <c r="AB10" s="261">
        <v>367187.66</v>
      </c>
      <c r="AC10" s="262">
        <f t="shared" si="11"/>
        <v>57504456.46</v>
      </c>
      <c r="AD10" s="261">
        <f>AB10/1000</f>
        <v>367.18766</v>
      </c>
      <c r="AE10" s="262">
        <f t="shared" si="12"/>
        <v>57504.45646</v>
      </c>
      <c r="AF10" s="262">
        <v>278132.6</v>
      </c>
      <c r="AG10" s="262">
        <f>AC10+AF10</f>
        <v>57782589.06</v>
      </c>
      <c r="AH10" s="261">
        <f aca="true" t="shared" si="15" ref="AH10:AH15">AF10/1000</f>
        <v>278.13259999999997</v>
      </c>
      <c r="AI10" s="262">
        <f t="shared" si="13"/>
        <v>57782.58906</v>
      </c>
      <c r="AJ10" s="262">
        <v>378051.1</v>
      </c>
      <c r="AK10" s="262">
        <f>AG10+AJ10</f>
        <v>58160640.160000004</v>
      </c>
      <c r="AL10" s="261">
        <f aca="true" t="shared" si="16" ref="AL10:AL15">AJ10/1000</f>
        <v>378.05109999999996</v>
      </c>
      <c r="AM10" s="262">
        <f>AI10+AL10</f>
        <v>58160.640159999995</v>
      </c>
      <c r="AN10" s="261">
        <v>3488246.6</v>
      </c>
      <c r="AO10" s="262">
        <f t="shared" si="0"/>
        <v>61648886.760000005</v>
      </c>
      <c r="AP10" s="261">
        <f>AN10/1000</f>
        <v>3488.2466</v>
      </c>
      <c r="AQ10" s="262">
        <f aca="true" t="shared" si="17" ref="AQ10:AQ16">AM10+AP10</f>
        <v>61648.886759999994</v>
      </c>
      <c r="AR10" s="51">
        <f>1063064</f>
        <v>1063064</v>
      </c>
    </row>
    <row r="11" spans="1:44" ht="23.25" customHeight="1">
      <c r="A11" s="264" t="s">
        <v>175</v>
      </c>
      <c r="B11" s="276">
        <v>6338115.6</v>
      </c>
      <c r="C11" s="276">
        <v>6881030.32</v>
      </c>
      <c r="D11" s="276">
        <v>9324944.14</v>
      </c>
      <c r="E11" s="276">
        <f>B11+C11+D11</f>
        <v>22544090.060000002</v>
      </c>
      <c r="F11" s="276">
        <f>E11/1000</f>
        <v>22544.090060000002</v>
      </c>
      <c r="G11" s="276"/>
      <c r="H11" s="276">
        <v>7601530.62</v>
      </c>
      <c r="I11" s="276">
        <f>H11/1000</f>
        <v>7601.53062</v>
      </c>
      <c r="J11" s="276">
        <f t="shared" si="4"/>
        <v>30145620.680000003</v>
      </c>
      <c r="K11" s="276">
        <f t="shared" si="4"/>
        <v>30145.620680000004</v>
      </c>
      <c r="L11" s="261">
        <v>7140747.09</v>
      </c>
      <c r="M11" s="262">
        <f aca="true" t="shared" si="18" ref="M11:M16">J11+L11</f>
        <v>37286367.77</v>
      </c>
      <c r="N11" s="261">
        <f aca="true" t="shared" si="19" ref="N11:N16">L11/1000</f>
        <v>7140.74709</v>
      </c>
      <c r="O11" s="262">
        <f t="shared" si="5"/>
        <v>37286.367770000004</v>
      </c>
      <c r="P11" s="262">
        <v>6533855.85</v>
      </c>
      <c r="Q11" s="265">
        <f t="shared" si="6"/>
        <v>43820223.620000005</v>
      </c>
      <c r="R11" s="261">
        <f aca="true" t="shared" si="20" ref="R11:R16">P11/1000</f>
        <v>6533.85585</v>
      </c>
      <c r="S11" s="262">
        <f t="shared" si="7"/>
        <v>43820.223620000004</v>
      </c>
      <c r="T11" s="261">
        <v>7935602.29</v>
      </c>
      <c r="U11" s="262">
        <f t="shared" si="8"/>
        <v>51755825.910000004</v>
      </c>
      <c r="V11" s="261">
        <f aca="true" t="shared" si="21" ref="V11:V16">T11/1000</f>
        <v>7935.60229</v>
      </c>
      <c r="W11" s="262">
        <f t="shared" si="9"/>
        <v>51755.82591000001</v>
      </c>
      <c r="X11" s="262">
        <v>7603386.69</v>
      </c>
      <c r="Y11" s="262">
        <f t="shared" si="10"/>
        <v>59359212.6</v>
      </c>
      <c r="Z11" s="261">
        <f aca="true" t="shared" si="22" ref="Z11:Z16">X11/1000</f>
        <v>7603.38669</v>
      </c>
      <c r="AA11" s="262">
        <f aca="true" t="shared" si="23" ref="AA11:AA16">W11+Z11</f>
        <v>59359.212600000006</v>
      </c>
      <c r="AB11" s="261">
        <v>6697587.44</v>
      </c>
      <c r="AC11" s="262">
        <f t="shared" si="11"/>
        <v>66056800.04</v>
      </c>
      <c r="AD11" s="261">
        <f>AB11/1000</f>
        <v>6697.58744</v>
      </c>
      <c r="AE11" s="262">
        <f t="shared" si="12"/>
        <v>66056.80004</v>
      </c>
      <c r="AF11" s="262">
        <v>6703259.75</v>
      </c>
      <c r="AG11" s="262">
        <f>AC11+AF11</f>
        <v>72760059.78999999</v>
      </c>
      <c r="AH11" s="261">
        <f t="shared" si="15"/>
        <v>6703.25975</v>
      </c>
      <c r="AI11" s="262">
        <f t="shared" si="13"/>
        <v>72760.05979</v>
      </c>
      <c r="AJ11" s="262">
        <v>7047395.74</v>
      </c>
      <c r="AK11" s="262">
        <f>AG11+AJ11</f>
        <v>79807455.52999999</v>
      </c>
      <c r="AL11" s="261">
        <f t="shared" si="16"/>
        <v>7047.39574</v>
      </c>
      <c r="AM11" s="262">
        <f t="shared" si="14"/>
        <v>79807.45553</v>
      </c>
      <c r="AN11" s="336">
        <v>20827199.81</v>
      </c>
      <c r="AO11" s="262">
        <f t="shared" si="0"/>
        <v>100634655.33999999</v>
      </c>
      <c r="AP11" s="261">
        <f aca="true" t="shared" si="24" ref="AP11:AP16">AN11/1000</f>
        <v>20827.19981</v>
      </c>
      <c r="AQ11" s="262">
        <f t="shared" si="17"/>
        <v>100634.65534</v>
      </c>
      <c r="AR11" s="51"/>
    </row>
    <row r="12" spans="1:44" ht="30" customHeight="1">
      <c r="A12" s="264" t="s">
        <v>618</v>
      </c>
      <c r="B12" s="276">
        <v>12423888</v>
      </c>
      <c r="C12" s="276">
        <v>10857482</v>
      </c>
      <c r="D12" s="276">
        <v>27332370.55</v>
      </c>
      <c r="E12" s="276">
        <f>B12+C12+D12</f>
        <v>50613740.55</v>
      </c>
      <c r="F12" s="276">
        <f>E12/1000</f>
        <v>50613.740549999995</v>
      </c>
      <c r="G12" s="276"/>
      <c r="H12" s="276">
        <v>12439640</v>
      </c>
      <c r="I12" s="276">
        <f>H12/1000</f>
        <v>12439.64</v>
      </c>
      <c r="J12" s="276">
        <f t="shared" si="4"/>
        <v>63053380.55</v>
      </c>
      <c r="K12" s="276">
        <f t="shared" si="4"/>
        <v>63053.380549999994</v>
      </c>
      <c r="L12" s="261">
        <v>-1598043</v>
      </c>
      <c r="M12" s="262">
        <f t="shared" si="18"/>
        <v>61455337.55</v>
      </c>
      <c r="N12" s="261">
        <f t="shared" si="19"/>
        <v>-1598.043</v>
      </c>
      <c r="O12" s="262">
        <f t="shared" si="5"/>
        <v>61455.33755</v>
      </c>
      <c r="P12" s="262">
        <v>13420834</v>
      </c>
      <c r="Q12" s="265">
        <f t="shared" si="6"/>
        <v>74876171.55</v>
      </c>
      <c r="R12" s="261">
        <f t="shared" si="20"/>
        <v>13420.834</v>
      </c>
      <c r="S12" s="262">
        <f t="shared" si="7"/>
        <v>74876.17155</v>
      </c>
      <c r="T12" s="262">
        <v>11833792</v>
      </c>
      <c r="U12" s="262">
        <f t="shared" si="8"/>
        <v>86709963.55</v>
      </c>
      <c r="V12" s="261">
        <f t="shared" si="21"/>
        <v>11833.792</v>
      </c>
      <c r="W12" s="262">
        <f t="shared" si="9"/>
        <v>86709.96355</v>
      </c>
      <c r="X12" s="262">
        <v>11838520</v>
      </c>
      <c r="Y12" s="262">
        <f>U12+X12</f>
        <v>98548483.55</v>
      </c>
      <c r="Z12" s="261">
        <f t="shared" si="22"/>
        <v>11838.52</v>
      </c>
      <c r="AA12" s="262">
        <f t="shared" si="23"/>
        <v>98548.48355</v>
      </c>
      <c r="AB12" s="261">
        <f>46367816.86-34853500+72863</f>
        <v>11587179.86</v>
      </c>
      <c r="AC12" s="262">
        <f t="shared" si="11"/>
        <v>110135663.41</v>
      </c>
      <c r="AD12" s="261">
        <f>AB12/1000</f>
        <v>11587.17986</v>
      </c>
      <c r="AE12" s="262">
        <f t="shared" si="12"/>
        <v>110135.66341000001</v>
      </c>
      <c r="AF12" s="262">
        <v>8840317</v>
      </c>
      <c r="AG12" s="262">
        <f>AC12+AF12</f>
        <v>118975980.41</v>
      </c>
      <c r="AH12" s="261">
        <f t="shared" si="15"/>
        <v>8840.317</v>
      </c>
      <c r="AI12" s="262">
        <f t="shared" si="13"/>
        <v>118975.98041</v>
      </c>
      <c r="AJ12" s="262">
        <v>9173262</v>
      </c>
      <c r="AK12" s="262">
        <f>AG12+AJ12</f>
        <v>128149242.41</v>
      </c>
      <c r="AL12" s="261">
        <f t="shared" si="16"/>
        <v>9173.262</v>
      </c>
      <c r="AM12" s="262">
        <f t="shared" si="14"/>
        <v>128149.24241</v>
      </c>
      <c r="AN12" s="336">
        <f>51628380-34583500+9655715</f>
        <v>26700595</v>
      </c>
      <c r="AO12" s="262">
        <f t="shared" si="0"/>
        <v>154849837.41</v>
      </c>
      <c r="AP12" s="261">
        <f t="shared" si="24"/>
        <v>26700.595</v>
      </c>
      <c r="AQ12" s="262">
        <f t="shared" si="17"/>
        <v>154849.83741</v>
      </c>
      <c r="AR12" s="51"/>
    </row>
    <row r="13" spans="1:44" ht="30" customHeight="1">
      <c r="A13" s="290" t="s">
        <v>643</v>
      </c>
      <c r="B13" s="276"/>
      <c r="C13" s="276"/>
      <c r="D13" s="262">
        <v>34853500</v>
      </c>
      <c r="E13" s="262">
        <f>B13+C13+D13</f>
        <v>34853500</v>
      </c>
      <c r="F13" s="262">
        <f>E13/1000</f>
        <v>34853.5</v>
      </c>
      <c r="G13" s="262"/>
      <c r="H13" s="261"/>
      <c r="I13" s="261"/>
      <c r="J13" s="262">
        <f t="shared" si="4"/>
        <v>34853500</v>
      </c>
      <c r="K13" s="262">
        <f>F13+I13</f>
        <v>34853.5</v>
      </c>
      <c r="L13" s="261"/>
      <c r="M13" s="262">
        <f>J13+L13</f>
        <v>34853500</v>
      </c>
      <c r="N13" s="261"/>
      <c r="O13" s="262">
        <f t="shared" si="5"/>
        <v>34853.5</v>
      </c>
      <c r="P13" s="262">
        <v>34853500</v>
      </c>
      <c r="Q13" s="265">
        <f t="shared" si="6"/>
        <v>69707000</v>
      </c>
      <c r="R13" s="261">
        <v>34853.5</v>
      </c>
      <c r="S13" s="262">
        <f t="shared" si="7"/>
        <v>69707</v>
      </c>
      <c r="T13" s="261"/>
      <c r="U13" s="262">
        <f t="shared" si="8"/>
        <v>69707000</v>
      </c>
      <c r="V13" s="261">
        <f t="shared" si="21"/>
        <v>0</v>
      </c>
      <c r="W13" s="262">
        <f t="shared" si="9"/>
        <v>69707</v>
      </c>
      <c r="X13" s="262">
        <v>0</v>
      </c>
      <c r="Y13" s="262">
        <f>U13+X13</f>
        <v>69707000</v>
      </c>
      <c r="Z13" s="261">
        <v>0</v>
      </c>
      <c r="AA13" s="262">
        <f t="shared" si="23"/>
        <v>69707</v>
      </c>
      <c r="AB13" s="261">
        <v>34853500</v>
      </c>
      <c r="AC13" s="262">
        <f>Y13+AB13</f>
        <v>104560500</v>
      </c>
      <c r="AD13" s="261">
        <f>AB13/1000</f>
        <v>34853.5</v>
      </c>
      <c r="AE13" s="262">
        <f>AA13+AD13</f>
        <v>104560.5</v>
      </c>
      <c r="AF13" s="262"/>
      <c r="AG13" s="262">
        <f>AC13+AF13</f>
        <v>104560500</v>
      </c>
      <c r="AH13" s="261">
        <f t="shared" si="15"/>
        <v>0</v>
      </c>
      <c r="AI13" s="262">
        <f t="shared" si="13"/>
        <v>104560.5</v>
      </c>
      <c r="AJ13" s="262"/>
      <c r="AK13" s="262">
        <f>AG13+AJ13</f>
        <v>104560500</v>
      </c>
      <c r="AL13" s="261">
        <f t="shared" si="16"/>
        <v>0</v>
      </c>
      <c r="AM13" s="262">
        <f t="shared" si="14"/>
        <v>104560.5</v>
      </c>
      <c r="AN13" s="336">
        <v>34583500</v>
      </c>
      <c r="AO13" s="262">
        <f t="shared" si="0"/>
        <v>139144000</v>
      </c>
      <c r="AP13" s="261">
        <f t="shared" si="24"/>
        <v>34583.5</v>
      </c>
      <c r="AQ13" s="262">
        <f t="shared" si="17"/>
        <v>139144</v>
      </c>
      <c r="AR13" s="51"/>
    </row>
    <row r="14" spans="1:44" ht="23.25" customHeight="1">
      <c r="A14" s="277" t="s">
        <v>619</v>
      </c>
      <c r="B14" s="262"/>
      <c r="C14" s="262"/>
      <c r="D14" s="262"/>
      <c r="E14" s="262"/>
      <c r="F14" s="262"/>
      <c r="G14" s="262"/>
      <c r="H14" s="262"/>
      <c r="I14" s="261"/>
      <c r="J14" s="261"/>
      <c r="K14" s="261"/>
      <c r="L14" s="261"/>
      <c r="M14" s="262">
        <f t="shared" si="18"/>
        <v>0</v>
      </c>
      <c r="N14" s="261">
        <f t="shared" si="19"/>
        <v>0</v>
      </c>
      <c r="O14" s="262">
        <f t="shared" si="5"/>
        <v>0</v>
      </c>
      <c r="P14" s="262">
        <f>-149540.29+149540.29</f>
        <v>0</v>
      </c>
      <c r="Q14" s="265">
        <f t="shared" si="6"/>
        <v>0</v>
      </c>
      <c r="R14" s="261">
        <f t="shared" si="20"/>
        <v>0</v>
      </c>
      <c r="S14" s="262">
        <f t="shared" si="7"/>
        <v>0</v>
      </c>
      <c r="T14" s="261"/>
      <c r="U14" s="262">
        <f t="shared" si="8"/>
        <v>0</v>
      </c>
      <c r="V14" s="261">
        <f t="shared" si="21"/>
        <v>0</v>
      </c>
      <c r="W14" s="262">
        <f t="shared" si="9"/>
        <v>0</v>
      </c>
      <c r="X14" s="262"/>
      <c r="Y14" s="262">
        <f t="shared" si="10"/>
        <v>0</v>
      </c>
      <c r="Z14" s="261">
        <f t="shared" si="22"/>
        <v>0</v>
      </c>
      <c r="AA14" s="262">
        <f t="shared" si="23"/>
        <v>0</v>
      </c>
      <c r="AB14" s="261"/>
      <c r="AC14" s="262"/>
      <c r="AD14" s="261"/>
      <c r="AE14" s="262"/>
      <c r="AF14" s="262"/>
      <c r="AG14" s="261"/>
      <c r="AH14" s="261">
        <f t="shared" si="15"/>
        <v>0</v>
      </c>
      <c r="AI14" s="262">
        <f t="shared" si="13"/>
        <v>0</v>
      </c>
      <c r="AJ14" s="262"/>
      <c r="AK14" s="261"/>
      <c r="AL14" s="261">
        <f t="shared" si="16"/>
        <v>0</v>
      </c>
      <c r="AM14" s="262">
        <f t="shared" si="14"/>
        <v>0</v>
      </c>
      <c r="AN14" s="261"/>
      <c r="AO14" s="262">
        <f t="shared" si="0"/>
        <v>0</v>
      </c>
      <c r="AP14" s="261">
        <f t="shared" si="24"/>
        <v>0</v>
      </c>
      <c r="AQ14" s="262">
        <f t="shared" si="17"/>
        <v>0</v>
      </c>
      <c r="AR14" s="51"/>
    </row>
    <row r="15" spans="1:44" ht="23.25" customHeight="1" thickBot="1">
      <c r="A15" s="277" t="s">
        <v>620</v>
      </c>
      <c r="B15" s="262"/>
      <c r="C15" s="262"/>
      <c r="D15" s="262"/>
      <c r="E15" s="262"/>
      <c r="F15" s="262"/>
      <c r="G15" s="262"/>
      <c r="H15" s="262"/>
      <c r="I15" s="261"/>
      <c r="J15" s="261"/>
      <c r="K15" s="261"/>
      <c r="L15" s="261"/>
      <c r="M15" s="262">
        <f t="shared" si="18"/>
        <v>0</v>
      </c>
      <c r="N15" s="261">
        <f t="shared" si="19"/>
        <v>0</v>
      </c>
      <c r="O15" s="262">
        <f t="shared" si="5"/>
        <v>0</v>
      </c>
      <c r="P15" s="261"/>
      <c r="Q15" s="265">
        <f t="shared" si="6"/>
        <v>0</v>
      </c>
      <c r="R15" s="261">
        <f t="shared" si="20"/>
        <v>0</v>
      </c>
      <c r="S15" s="261"/>
      <c r="T15" s="262"/>
      <c r="U15" s="262">
        <f t="shared" si="8"/>
        <v>0</v>
      </c>
      <c r="V15" s="261">
        <f t="shared" si="21"/>
        <v>0</v>
      </c>
      <c r="W15" s="262">
        <f t="shared" si="9"/>
        <v>0</v>
      </c>
      <c r="X15" s="262"/>
      <c r="Y15" s="262">
        <f t="shared" si="10"/>
        <v>0</v>
      </c>
      <c r="Z15" s="261">
        <f t="shared" si="22"/>
        <v>0</v>
      </c>
      <c r="AA15" s="262">
        <f t="shared" si="23"/>
        <v>0</v>
      </c>
      <c r="AB15" s="261"/>
      <c r="AC15" s="262">
        <f t="shared" si="11"/>
        <v>0</v>
      </c>
      <c r="AD15" s="261">
        <f>AC15/1000</f>
        <v>0</v>
      </c>
      <c r="AE15" s="262">
        <f t="shared" si="12"/>
        <v>0</v>
      </c>
      <c r="AF15" s="262"/>
      <c r="AG15" s="261"/>
      <c r="AH15" s="261">
        <f t="shared" si="15"/>
        <v>0</v>
      </c>
      <c r="AI15" s="262">
        <f t="shared" si="13"/>
        <v>0</v>
      </c>
      <c r="AJ15" s="262"/>
      <c r="AK15" s="261"/>
      <c r="AL15" s="261">
        <f t="shared" si="16"/>
        <v>0</v>
      </c>
      <c r="AM15" s="262">
        <f t="shared" si="14"/>
        <v>0</v>
      </c>
      <c r="AN15" s="261"/>
      <c r="AO15" s="262">
        <f t="shared" si="0"/>
        <v>0</v>
      </c>
      <c r="AP15" s="261">
        <f t="shared" si="24"/>
        <v>0</v>
      </c>
      <c r="AQ15" s="262">
        <f t="shared" si="17"/>
        <v>0</v>
      </c>
      <c r="AR15" s="51"/>
    </row>
    <row r="16" spans="1:44" ht="23.25" customHeight="1" thickBot="1">
      <c r="A16" s="278" t="s">
        <v>621</v>
      </c>
      <c r="B16" s="262"/>
      <c r="C16" s="262"/>
      <c r="D16" s="262"/>
      <c r="E16" s="262"/>
      <c r="F16" s="262"/>
      <c r="G16" s="262"/>
      <c r="H16" s="262"/>
      <c r="I16" s="261"/>
      <c r="J16" s="261"/>
      <c r="K16" s="261"/>
      <c r="L16" s="261"/>
      <c r="M16" s="262">
        <f t="shared" si="18"/>
        <v>0</v>
      </c>
      <c r="N16" s="261">
        <f t="shared" si="19"/>
        <v>0</v>
      </c>
      <c r="O16" s="262">
        <f t="shared" si="5"/>
        <v>0</v>
      </c>
      <c r="P16" s="261"/>
      <c r="Q16" s="265">
        <f t="shared" si="6"/>
        <v>0</v>
      </c>
      <c r="R16" s="261">
        <f t="shared" si="20"/>
        <v>0</v>
      </c>
      <c r="S16" s="261"/>
      <c r="T16" s="261"/>
      <c r="U16" s="262">
        <f t="shared" si="8"/>
        <v>0</v>
      </c>
      <c r="V16" s="261">
        <f t="shared" si="21"/>
        <v>0</v>
      </c>
      <c r="W16" s="262">
        <f t="shared" si="9"/>
        <v>0</v>
      </c>
      <c r="X16" s="262"/>
      <c r="Y16" s="262">
        <f t="shared" si="10"/>
        <v>0</v>
      </c>
      <c r="Z16" s="261">
        <f t="shared" si="22"/>
        <v>0</v>
      </c>
      <c r="AA16" s="262">
        <f t="shared" si="23"/>
        <v>0</v>
      </c>
      <c r="AB16" s="261"/>
      <c r="AC16" s="261"/>
      <c r="AD16" s="261">
        <f>AC16/1000</f>
        <v>0</v>
      </c>
      <c r="AE16" s="262">
        <f t="shared" si="12"/>
        <v>0</v>
      </c>
      <c r="AF16" s="262"/>
      <c r="AG16" s="261"/>
      <c r="AH16" s="261"/>
      <c r="AI16" s="262">
        <f t="shared" si="13"/>
        <v>0</v>
      </c>
      <c r="AJ16" s="262"/>
      <c r="AK16" s="261"/>
      <c r="AL16" s="261"/>
      <c r="AM16" s="262">
        <f t="shared" si="14"/>
        <v>0</v>
      </c>
      <c r="AN16" s="261"/>
      <c r="AO16" s="262">
        <f t="shared" si="0"/>
        <v>0</v>
      </c>
      <c r="AP16" s="261">
        <f t="shared" si="24"/>
        <v>0</v>
      </c>
      <c r="AQ16" s="262">
        <f t="shared" si="17"/>
        <v>0</v>
      </c>
      <c r="AR16" s="358"/>
    </row>
    <row r="17" spans="1:44" ht="35.25" customHeight="1" thickBot="1">
      <c r="A17" s="279" t="s">
        <v>622</v>
      </c>
      <c r="B17" s="269">
        <f>B6-B8</f>
        <v>224448259.33</v>
      </c>
      <c r="C17" s="269">
        <f>C6-C8</f>
        <v>122141798.07999995</v>
      </c>
      <c r="D17" s="269">
        <f>D6-D8</f>
        <v>84296822.90000007</v>
      </c>
      <c r="E17" s="269">
        <f>E6-E8</f>
        <v>430886880.3100003</v>
      </c>
      <c r="F17" s="269">
        <f>F6-F8</f>
        <v>633906.0503100003</v>
      </c>
      <c r="G17" s="269"/>
      <c r="H17" s="269">
        <f aca="true" t="shared" si="25" ref="H17:AF17">H6-H8</f>
        <v>154676848.07000002</v>
      </c>
      <c r="I17" s="269">
        <f t="shared" si="25"/>
        <v>210789.68906999996</v>
      </c>
      <c r="J17" s="269">
        <f t="shared" si="25"/>
        <v>585563728.3800004</v>
      </c>
      <c r="K17" s="269">
        <f t="shared" si="25"/>
        <v>809842.2393800002</v>
      </c>
      <c r="L17" s="269">
        <f t="shared" si="25"/>
        <v>11657325.889999926</v>
      </c>
      <c r="M17" s="269">
        <f t="shared" si="25"/>
        <v>597221054.2700005</v>
      </c>
      <c r="N17" s="269">
        <f t="shared" si="25"/>
        <v>68046.1218899999</v>
      </c>
      <c r="O17" s="269">
        <f t="shared" si="25"/>
        <v>877888.3612700002</v>
      </c>
      <c r="P17" s="269">
        <f>P6-P8</f>
        <v>17209484.199999943</v>
      </c>
      <c r="Q17" s="271">
        <f t="shared" si="25"/>
        <v>614430538.4700007</v>
      </c>
      <c r="R17" s="269">
        <f t="shared" si="25"/>
        <v>74220.7692</v>
      </c>
      <c r="S17" s="269">
        <f t="shared" si="25"/>
        <v>952109.1304700002</v>
      </c>
      <c r="T17" s="269">
        <f t="shared" si="25"/>
        <v>106881626.00000006</v>
      </c>
      <c r="U17" s="270">
        <f t="shared" si="25"/>
        <v>721312164.4700009</v>
      </c>
      <c r="V17" s="272">
        <f t="shared" si="25"/>
        <v>163142.40000000002</v>
      </c>
      <c r="W17" s="269">
        <f t="shared" si="25"/>
        <v>1115251.5304700003</v>
      </c>
      <c r="X17" s="269">
        <f t="shared" si="25"/>
        <v>-20601969.370000005</v>
      </c>
      <c r="Y17" s="269">
        <f t="shared" si="25"/>
        <v>700710195.1000012</v>
      </c>
      <c r="Z17" s="272">
        <f t="shared" si="25"/>
        <v>35660.519630000024</v>
      </c>
      <c r="AA17" s="269">
        <f t="shared" si="25"/>
        <v>1150912.0501000006</v>
      </c>
      <c r="AB17" s="269">
        <f t="shared" si="25"/>
        <v>57714380.000000075</v>
      </c>
      <c r="AC17" s="269">
        <f t="shared" si="25"/>
        <v>758424575.1000011</v>
      </c>
      <c r="AD17" s="272">
        <f t="shared" si="25"/>
        <v>113974.25100000008</v>
      </c>
      <c r="AE17" s="269">
        <f>AE6-AE8</f>
        <v>1264886.3011000007</v>
      </c>
      <c r="AF17" s="269">
        <f t="shared" si="25"/>
        <v>292611452.81000006</v>
      </c>
      <c r="AG17" s="269">
        <f aca="true" t="shared" si="26" ref="AG17:AN17">AG6-AG8</f>
        <v>1051036027.9100012</v>
      </c>
      <c r="AH17" s="272">
        <f t="shared" si="26"/>
        <v>348870.73681000003</v>
      </c>
      <c r="AI17" s="269">
        <f t="shared" si="26"/>
        <v>1613757.037910001</v>
      </c>
      <c r="AJ17" s="269">
        <f t="shared" si="26"/>
        <v>155641410.11</v>
      </c>
      <c r="AK17" s="269">
        <f t="shared" si="26"/>
        <v>1206677438.0200012</v>
      </c>
      <c r="AL17" s="272">
        <f t="shared" si="26"/>
        <v>211888.48511</v>
      </c>
      <c r="AM17" s="269">
        <f t="shared" si="26"/>
        <v>1825645.523020001</v>
      </c>
      <c r="AN17" s="269">
        <f t="shared" si="26"/>
        <v>-183455713.05999988</v>
      </c>
      <c r="AO17" s="269">
        <f t="shared" si="0"/>
        <v>1023221724.9600012</v>
      </c>
      <c r="AP17" s="269">
        <f>AP6-AP8</f>
        <v>-88458.60405999993</v>
      </c>
      <c r="AQ17" s="269">
        <f>AQ6-AQ8</f>
        <v>1737186.9189600016</v>
      </c>
      <c r="AR17" s="305"/>
    </row>
    <row r="18" spans="1:44" ht="15.75" thickBot="1">
      <c r="A18" s="280"/>
      <c r="B18" s="261"/>
      <c r="C18" s="261"/>
      <c r="D18" s="261"/>
      <c r="E18" s="261"/>
      <c r="F18" s="261"/>
      <c r="G18" s="262"/>
      <c r="H18" s="261"/>
      <c r="I18" s="261"/>
      <c r="J18" s="261"/>
      <c r="K18" s="261"/>
      <c r="L18" s="261"/>
      <c r="M18" s="261"/>
      <c r="N18" s="261"/>
      <c r="O18" s="261"/>
      <c r="P18" s="261"/>
      <c r="Q18" s="263"/>
      <c r="R18" s="261"/>
      <c r="S18" s="261"/>
      <c r="T18" s="261"/>
      <c r="U18" s="261"/>
      <c r="V18" s="261"/>
      <c r="W18" s="261"/>
      <c r="X18" s="262"/>
      <c r="Y18" s="261"/>
      <c r="Z18" s="261"/>
      <c r="AA18" s="262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2">
        <f t="shared" si="0"/>
        <v>0</v>
      </c>
      <c r="AP18" s="261"/>
      <c r="AQ18" s="261"/>
      <c r="AR18" s="358"/>
    </row>
    <row r="19" spans="1:44" ht="16.5" thickBot="1">
      <c r="A19" s="281" t="s">
        <v>623</v>
      </c>
      <c r="B19" s="261"/>
      <c r="C19" s="261"/>
      <c r="D19" s="261"/>
      <c r="E19" s="261"/>
      <c r="F19" s="261"/>
      <c r="G19" s="262"/>
      <c r="H19" s="261"/>
      <c r="I19" s="261"/>
      <c r="J19" s="261"/>
      <c r="K19" s="261"/>
      <c r="L19" s="261"/>
      <c r="M19" s="261"/>
      <c r="N19" s="261"/>
      <c r="O19" s="261"/>
      <c r="P19" s="261"/>
      <c r="Q19" s="263"/>
      <c r="R19" s="261"/>
      <c r="S19" s="261"/>
      <c r="T19" s="261"/>
      <c r="U19" s="261"/>
      <c r="V19" s="261"/>
      <c r="W19" s="261"/>
      <c r="X19" s="262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2">
        <f t="shared" si="0"/>
        <v>0</v>
      </c>
      <c r="AP19" s="261"/>
      <c r="AQ19" s="261"/>
      <c r="AR19" s="51"/>
    </row>
    <row r="20" spans="1:44" ht="15">
      <c r="A20" s="282" t="s">
        <v>624</v>
      </c>
      <c r="B20" s="262">
        <f>2151644.43-5103.57</f>
        <v>2146540.8600000003</v>
      </c>
      <c r="C20" s="262">
        <v>2638431.03</v>
      </c>
      <c r="D20" s="262">
        <v>2937128.42</v>
      </c>
      <c r="E20" s="262">
        <f aca="true" t="shared" si="27" ref="E20:E29">B20+C20+D20</f>
        <v>7722100.3100000005</v>
      </c>
      <c r="F20" s="262">
        <f>E20/1000</f>
        <v>7722.100310000001</v>
      </c>
      <c r="G20" s="262"/>
      <c r="H20" s="262">
        <v>3441990.76</v>
      </c>
      <c r="I20" s="261">
        <f>H20/1000</f>
        <v>3441.9907599999997</v>
      </c>
      <c r="J20" s="262">
        <f aca="true" t="shared" si="28" ref="J20:K29">E20+H20</f>
        <v>11164091.07</v>
      </c>
      <c r="K20" s="262">
        <f>F20+I20</f>
        <v>11164.09107</v>
      </c>
      <c r="L20" s="261">
        <v>3364377.58</v>
      </c>
      <c r="M20" s="262">
        <f>J20+L20</f>
        <v>14528468.65</v>
      </c>
      <c r="N20" s="261">
        <f>L20/1000</f>
        <v>3364.37758</v>
      </c>
      <c r="O20" s="262">
        <f aca="true" t="shared" si="29" ref="O20:O30">K20+N20</f>
        <v>14528.46865</v>
      </c>
      <c r="P20" s="262">
        <f>3514680.9</f>
        <v>3514680.9</v>
      </c>
      <c r="Q20" s="265">
        <f aca="true" t="shared" si="30" ref="Q20:Q30">M20+P20</f>
        <v>18043149.55</v>
      </c>
      <c r="R20" s="261">
        <f>P20/1000</f>
        <v>3514.6809</v>
      </c>
      <c r="S20" s="261">
        <f>Q20/1000</f>
        <v>18043.149550000002</v>
      </c>
      <c r="T20" s="261">
        <v>4648145.94</v>
      </c>
      <c r="U20" s="262">
        <f aca="true" t="shared" si="31" ref="U20:U30">Q20+T20</f>
        <v>22691295.490000002</v>
      </c>
      <c r="V20" s="261">
        <f>T20/1000</f>
        <v>4648.14594</v>
      </c>
      <c r="W20" s="262">
        <f aca="true" t="shared" si="32" ref="W20:W30">S20+V20</f>
        <v>22691.295490000004</v>
      </c>
      <c r="X20" s="262">
        <v>3050038.75</v>
      </c>
      <c r="Y20" s="262">
        <f aca="true" t="shared" si="33" ref="Y20:Y30">U20+X20</f>
        <v>25741334.240000002</v>
      </c>
      <c r="Z20" s="261">
        <f>X20/1000</f>
        <v>3050.03875</v>
      </c>
      <c r="AA20" s="262">
        <f>W20+Z20</f>
        <v>25741.334240000004</v>
      </c>
      <c r="AB20" s="261">
        <v>2795398.84</v>
      </c>
      <c r="AC20" s="262">
        <f aca="true" t="shared" si="34" ref="AC20:AC30">Y20+AB20</f>
        <v>28536733.080000002</v>
      </c>
      <c r="AD20" s="261">
        <f>AB20/1000</f>
        <v>2795.39884</v>
      </c>
      <c r="AE20" s="262">
        <f aca="true" t="shared" si="35" ref="AE20:AE30">AA20+AD20</f>
        <v>28536.733080000005</v>
      </c>
      <c r="AF20" s="262">
        <v>2919436.6</v>
      </c>
      <c r="AG20" s="262">
        <f aca="true" t="shared" si="36" ref="AG20:AG31">AC20+AF20</f>
        <v>31456169.680000003</v>
      </c>
      <c r="AH20" s="261">
        <f aca="true" t="shared" si="37" ref="AH20:AH31">AF20/1000</f>
        <v>2919.4366</v>
      </c>
      <c r="AI20" s="262">
        <f aca="true" t="shared" si="38" ref="AI20:AI31">AE20+AH20</f>
        <v>31456.169680000006</v>
      </c>
      <c r="AJ20" s="262">
        <v>3007814.03</v>
      </c>
      <c r="AK20" s="262">
        <f>AG20+AJ20</f>
        <v>34463983.71</v>
      </c>
      <c r="AL20" s="261">
        <f aca="true" t="shared" si="39" ref="AL20:AL31">AJ20/1000</f>
        <v>3007.81403</v>
      </c>
      <c r="AM20" s="262">
        <f aca="true" t="shared" si="40" ref="AM20:AM31">AI20+AL20</f>
        <v>34463.98371000001</v>
      </c>
      <c r="AN20" s="261">
        <v>2734980.96</v>
      </c>
      <c r="AO20" s="262">
        <f t="shared" si="0"/>
        <v>37198964.67</v>
      </c>
      <c r="AP20" s="261">
        <f>AN20/1000</f>
        <v>2734.98096</v>
      </c>
      <c r="AQ20" s="262">
        <f>AM20+AP20</f>
        <v>37198.96467000001</v>
      </c>
      <c r="AR20" s="51"/>
    </row>
    <row r="21" spans="1:44" ht="15">
      <c r="A21" s="264" t="s">
        <v>625</v>
      </c>
      <c r="B21" s="262">
        <v>5103.57</v>
      </c>
      <c r="C21" s="262">
        <v>5103.57</v>
      </c>
      <c r="D21" s="262">
        <v>20414.28</v>
      </c>
      <c r="E21" s="262">
        <f t="shared" si="27"/>
        <v>30621.42</v>
      </c>
      <c r="F21" s="262">
        <f aca="true" t="shared" si="41" ref="F21:F29">E21/1000</f>
        <v>30.621419999999997</v>
      </c>
      <c r="G21" s="262"/>
      <c r="H21" s="262">
        <v>25517.85</v>
      </c>
      <c r="I21" s="261">
        <f aca="true" t="shared" si="42" ref="I21:I29">H21/1000</f>
        <v>25.51785</v>
      </c>
      <c r="J21" s="262">
        <f t="shared" si="28"/>
        <v>56139.27</v>
      </c>
      <c r="K21" s="262">
        <f t="shared" si="28"/>
        <v>56.139269999999996</v>
      </c>
      <c r="L21" s="261"/>
      <c r="M21" s="262">
        <f aca="true" t="shared" si="43" ref="M21:M30">J21+L21</f>
        <v>56139.27</v>
      </c>
      <c r="N21" s="261">
        <f aca="true" t="shared" si="44" ref="N21:N30">L21/1000</f>
        <v>0</v>
      </c>
      <c r="O21" s="262">
        <f t="shared" si="29"/>
        <v>56.139269999999996</v>
      </c>
      <c r="P21" s="262">
        <v>5103.57</v>
      </c>
      <c r="Q21" s="265">
        <f t="shared" si="30"/>
        <v>61242.84</v>
      </c>
      <c r="R21" s="261">
        <f aca="true" t="shared" si="45" ref="R21:S30">P21/1000</f>
        <v>5.1035699999999995</v>
      </c>
      <c r="S21" s="261">
        <f t="shared" si="45"/>
        <v>61.242839999999994</v>
      </c>
      <c r="T21" s="261"/>
      <c r="U21" s="262">
        <f t="shared" si="31"/>
        <v>61242.84</v>
      </c>
      <c r="V21" s="261">
        <f aca="true" t="shared" si="46" ref="V21:V30">T21/1000</f>
        <v>0</v>
      </c>
      <c r="W21" s="262">
        <f t="shared" si="32"/>
        <v>61.242839999999994</v>
      </c>
      <c r="X21" s="262">
        <v>5103.57</v>
      </c>
      <c r="Y21" s="262">
        <f t="shared" si="33"/>
        <v>66346.41</v>
      </c>
      <c r="Z21" s="261">
        <f aca="true" t="shared" si="47" ref="Z21:Z30">X21/1000</f>
        <v>5.1035699999999995</v>
      </c>
      <c r="AA21" s="262">
        <f aca="true" t="shared" si="48" ref="AA21:AA30">W21+Z21</f>
        <v>66.34640999999999</v>
      </c>
      <c r="AB21" s="261"/>
      <c r="AC21" s="262">
        <f t="shared" si="34"/>
        <v>66346.41</v>
      </c>
      <c r="AD21" s="261"/>
      <c r="AE21" s="262">
        <f t="shared" si="35"/>
        <v>66.34640999999999</v>
      </c>
      <c r="AF21" s="262"/>
      <c r="AG21" s="262">
        <f t="shared" si="36"/>
        <v>66346.41</v>
      </c>
      <c r="AH21" s="261">
        <f t="shared" si="37"/>
        <v>0</v>
      </c>
      <c r="AI21" s="262">
        <f t="shared" si="38"/>
        <v>66.34640999999999</v>
      </c>
      <c r="AJ21" s="262"/>
      <c r="AK21" s="262">
        <f aca="true" t="shared" si="49" ref="AK21:AK31">AG21+AJ21</f>
        <v>66346.41</v>
      </c>
      <c r="AL21" s="261">
        <f t="shared" si="39"/>
        <v>0</v>
      </c>
      <c r="AM21" s="262">
        <f t="shared" si="40"/>
        <v>66.34640999999999</v>
      </c>
      <c r="AN21" s="261">
        <v>5103.59</v>
      </c>
      <c r="AO21" s="262">
        <f t="shared" si="0"/>
        <v>71450</v>
      </c>
      <c r="AP21" s="261">
        <f aca="true" t="shared" si="50" ref="AP21:AP31">AN21/1000</f>
        <v>5.1035900000000005</v>
      </c>
      <c r="AQ21" s="262">
        <f aca="true" t="shared" si="51" ref="AQ21:AQ30">AM21+AP21</f>
        <v>71.44999999999999</v>
      </c>
      <c r="AR21" s="359"/>
    </row>
    <row r="22" spans="1:43" ht="30">
      <c r="A22" s="264" t="s">
        <v>626</v>
      </c>
      <c r="B22" s="262">
        <v>392710.02</v>
      </c>
      <c r="C22" s="262">
        <v>899582.81</v>
      </c>
      <c r="D22" s="262">
        <v>849824.66</v>
      </c>
      <c r="E22" s="262">
        <f t="shared" si="27"/>
        <v>2142117.49</v>
      </c>
      <c r="F22" s="262">
        <f t="shared" si="41"/>
        <v>2142.11749</v>
      </c>
      <c r="G22" s="262"/>
      <c r="H22" s="262">
        <v>688781.45</v>
      </c>
      <c r="I22" s="261">
        <f t="shared" si="42"/>
        <v>688.78145</v>
      </c>
      <c r="J22" s="262">
        <f t="shared" si="28"/>
        <v>2830898.9400000004</v>
      </c>
      <c r="K22" s="262">
        <f t="shared" si="28"/>
        <v>2830.89894</v>
      </c>
      <c r="L22" s="261">
        <v>596168.25</v>
      </c>
      <c r="M22" s="262">
        <f t="shared" si="43"/>
        <v>3427067.1900000004</v>
      </c>
      <c r="N22" s="261">
        <f t="shared" si="44"/>
        <v>596.16825</v>
      </c>
      <c r="O22" s="262">
        <f t="shared" si="29"/>
        <v>3427.0671899999998</v>
      </c>
      <c r="P22" s="262">
        <f>311231769-310000000-644583.34</f>
        <v>587185.66</v>
      </c>
      <c r="Q22" s="265">
        <f t="shared" si="30"/>
        <v>4014252.8500000006</v>
      </c>
      <c r="R22" s="261">
        <f t="shared" si="45"/>
        <v>587.18566</v>
      </c>
      <c r="S22" s="261">
        <f t="shared" si="45"/>
        <v>4014.2528500000008</v>
      </c>
      <c r="T22" s="261">
        <v>724502.27</v>
      </c>
      <c r="U22" s="262">
        <f t="shared" si="31"/>
        <v>4738755.120000001</v>
      </c>
      <c r="V22" s="261">
        <f t="shared" si="46"/>
        <v>724.5022700000001</v>
      </c>
      <c r="W22" s="262">
        <f t="shared" si="32"/>
        <v>4738.755120000001</v>
      </c>
      <c r="X22" s="262">
        <v>1067453.98</v>
      </c>
      <c r="Y22" s="262">
        <f t="shared" si="33"/>
        <v>5806209.1000000015</v>
      </c>
      <c r="Z22" s="261">
        <f t="shared" si="47"/>
        <v>1067.45398</v>
      </c>
      <c r="AA22" s="262">
        <f t="shared" si="48"/>
        <v>5806.209100000001</v>
      </c>
      <c r="AB22" s="261">
        <f>3213129.94-2284261.69</f>
        <v>928868.25</v>
      </c>
      <c r="AC22" s="262">
        <f t="shared" si="34"/>
        <v>6735077.3500000015</v>
      </c>
      <c r="AD22" s="261">
        <f>AB22/1000</f>
        <v>928.86825</v>
      </c>
      <c r="AE22" s="262">
        <f t="shared" si="35"/>
        <v>6735.077350000001</v>
      </c>
      <c r="AF22" s="262">
        <v>1539249.06</v>
      </c>
      <c r="AG22" s="262">
        <f t="shared" si="36"/>
        <v>8274326.410000002</v>
      </c>
      <c r="AH22" s="261">
        <f t="shared" si="37"/>
        <v>1539.24906</v>
      </c>
      <c r="AI22" s="262">
        <f t="shared" si="38"/>
        <v>8274.326410000001</v>
      </c>
      <c r="AJ22" s="262">
        <f>7093225.11-6425974.69</f>
        <v>667250.4199999999</v>
      </c>
      <c r="AK22" s="262">
        <f t="shared" si="49"/>
        <v>8941576.830000002</v>
      </c>
      <c r="AL22" s="261">
        <f t="shared" si="39"/>
        <v>667.25042</v>
      </c>
      <c r="AM22" s="262">
        <f t="shared" si="40"/>
        <v>8941.576830000002</v>
      </c>
      <c r="AN22" s="261">
        <v>1837010.04</v>
      </c>
      <c r="AO22" s="262">
        <f t="shared" si="0"/>
        <v>10778586.870000001</v>
      </c>
      <c r="AP22" s="261">
        <f t="shared" si="50"/>
        <v>1837.0100400000001</v>
      </c>
      <c r="AQ22" s="262">
        <f t="shared" si="51"/>
        <v>10778.586870000003</v>
      </c>
    </row>
    <row r="23" spans="1:44" ht="15">
      <c r="A23" s="264" t="s">
        <v>627</v>
      </c>
      <c r="B23" s="262"/>
      <c r="C23" s="262"/>
      <c r="D23" s="262"/>
      <c r="E23" s="262">
        <f t="shared" si="27"/>
        <v>0</v>
      </c>
      <c r="F23" s="262">
        <f t="shared" si="41"/>
        <v>0</v>
      </c>
      <c r="G23" s="262"/>
      <c r="H23" s="262"/>
      <c r="I23" s="261">
        <f t="shared" si="42"/>
        <v>0</v>
      </c>
      <c r="J23" s="262">
        <f t="shared" si="28"/>
        <v>0</v>
      </c>
      <c r="K23" s="262">
        <f t="shared" si="28"/>
        <v>0</v>
      </c>
      <c r="L23" s="261"/>
      <c r="M23" s="262">
        <f t="shared" si="43"/>
        <v>0</v>
      </c>
      <c r="N23" s="261">
        <f t="shared" si="44"/>
        <v>0</v>
      </c>
      <c r="O23" s="262">
        <f t="shared" si="29"/>
        <v>0</v>
      </c>
      <c r="P23" s="262">
        <v>598968.01</v>
      </c>
      <c r="Q23" s="265">
        <f t="shared" si="30"/>
        <v>598968.01</v>
      </c>
      <c r="R23" s="261">
        <f t="shared" si="45"/>
        <v>598.96801</v>
      </c>
      <c r="S23" s="261">
        <f t="shared" si="45"/>
        <v>598.96801</v>
      </c>
      <c r="T23" s="261"/>
      <c r="U23" s="262">
        <f t="shared" si="31"/>
        <v>598968.01</v>
      </c>
      <c r="V23" s="261">
        <f t="shared" si="46"/>
        <v>0</v>
      </c>
      <c r="W23" s="262">
        <f t="shared" si="32"/>
        <v>598.96801</v>
      </c>
      <c r="X23" s="262"/>
      <c r="Y23" s="262">
        <f t="shared" si="33"/>
        <v>598968.01</v>
      </c>
      <c r="Z23" s="261">
        <f t="shared" si="47"/>
        <v>0</v>
      </c>
      <c r="AA23" s="262">
        <f t="shared" si="48"/>
        <v>598.96801</v>
      </c>
      <c r="AB23" s="262"/>
      <c r="AC23" s="262">
        <f t="shared" si="34"/>
        <v>598968.01</v>
      </c>
      <c r="AD23" s="261"/>
      <c r="AE23" s="262">
        <f t="shared" si="35"/>
        <v>598.96801</v>
      </c>
      <c r="AF23" s="262"/>
      <c r="AG23" s="262">
        <f t="shared" si="36"/>
        <v>598968.01</v>
      </c>
      <c r="AH23" s="261">
        <f t="shared" si="37"/>
        <v>0</v>
      </c>
      <c r="AI23" s="262">
        <f t="shared" si="38"/>
        <v>598.96801</v>
      </c>
      <c r="AJ23" s="262"/>
      <c r="AK23" s="262">
        <f t="shared" si="49"/>
        <v>598968.01</v>
      </c>
      <c r="AL23" s="261">
        <f t="shared" si="39"/>
        <v>0</v>
      </c>
      <c r="AM23" s="262">
        <f t="shared" si="40"/>
        <v>598.96801</v>
      </c>
      <c r="AN23" s="261"/>
      <c r="AO23" s="262">
        <f t="shared" si="0"/>
        <v>598968.01</v>
      </c>
      <c r="AP23" s="261">
        <f t="shared" si="50"/>
        <v>0</v>
      </c>
      <c r="AQ23" s="262">
        <f t="shared" si="51"/>
        <v>598.96801</v>
      </c>
      <c r="AR23" s="51"/>
    </row>
    <row r="24" spans="1:43" ht="30">
      <c r="A24" s="264" t="s">
        <v>628</v>
      </c>
      <c r="B24" s="262"/>
      <c r="C24" s="262"/>
      <c r="D24" s="262"/>
      <c r="E24" s="262">
        <f t="shared" si="27"/>
        <v>0</v>
      </c>
      <c r="F24" s="262">
        <f t="shared" si="41"/>
        <v>0</v>
      </c>
      <c r="G24" s="262"/>
      <c r="H24" s="262"/>
      <c r="I24" s="261">
        <f t="shared" si="42"/>
        <v>0</v>
      </c>
      <c r="J24" s="262">
        <f t="shared" si="28"/>
        <v>0</v>
      </c>
      <c r="K24" s="262">
        <f t="shared" si="28"/>
        <v>0</v>
      </c>
      <c r="L24" s="261"/>
      <c r="M24" s="262">
        <f t="shared" si="43"/>
        <v>0</v>
      </c>
      <c r="N24" s="261">
        <f t="shared" si="44"/>
        <v>0</v>
      </c>
      <c r="O24" s="262">
        <f t="shared" si="29"/>
        <v>0</v>
      </c>
      <c r="P24" s="262"/>
      <c r="Q24" s="265">
        <f t="shared" si="30"/>
        <v>0</v>
      </c>
      <c r="R24" s="261">
        <f t="shared" si="45"/>
        <v>0</v>
      </c>
      <c r="S24" s="261">
        <f t="shared" si="45"/>
        <v>0</v>
      </c>
      <c r="T24" s="261"/>
      <c r="U24" s="262">
        <f t="shared" si="31"/>
        <v>0</v>
      </c>
      <c r="V24" s="261">
        <f t="shared" si="46"/>
        <v>0</v>
      </c>
      <c r="W24" s="262">
        <f t="shared" si="32"/>
        <v>0</v>
      </c>
      <c r="X24" s="262"/>
      <c r="Y24" s="262">
        <f t="shared" si="33"/>
        <v>0</v>
      </c>
      <c r="Z24" s="261">
        <f t="shared" si="47"/>
        <v>0</v>
      </c>
      <c r="AA24" s="262">
        <f t="shared" si="48"/>
        <v>0</v>
      </c>
      <c r="AB24" s="261"/>
      <c r="AC24" s="262">
        <f t="shared" si="34"/>
        <v>0</v>
      </c>
      <c r="AD24" s="261"/>
      <c r="AE24" s="262">
        <f t="shared" si="35"/>
        <v>0</v>
      </c>
      <c r="AF24" s="262"/>
      <c r="AG24" s="262">
        <f t="shared" si="36"/>
        <v>0</v>
      </c>
      <c r="AH24" s="261">
        <f t="shared" si="37"/>
        <v>0</v>
      </c>
      <c r="AI24" s="262">
        <f t="shared" si="38"/>
        <v>0</v>
      </c>
      <c r="AJ24" s="262"/>
      <c r="AK24" s="262">
        <f t="shared" si="49"/>
        <v>0</v>
      </c>
      <c r="AL24" s="261">
        <f t="shared" si="39"/>
        <v>0</v>
      </c>
      <c r="AM24" s="262">
        <f t="shared" si="40"/>
        <v>0</v>
      </c>
      <c r="AN24" s="261"/>
      <c r="AO24" s="262">
        <f t="shared" si="0"/>
        <v>0</v>
      </c>
      <c r="AP24" s="261">
        <f t="shared" si="50"/>
        <v>0</v>
      </c>
      <c r="AQ24" s="262">
        <f t="shared" si="51"/>
        <v>0</v>
      </c>
    </row>
    <row r="25" spans="1:43" ht="30">
      <c r="A25" s="264" t="s">
        <v>629</v>
      </c>
      <c r="B25" s="262"/>
      <c r="C25" s="262"/>
      <c r="D25" s="262">
        <v>16782120</v>
      </c>
      <c r="E25" s="262">
        <f t="shared" si="27"/>
        <v>16782120</v>
      </c>
      <c r="F25" s="262">
        <f t="shared" si="41"/>
        <v>16782.12</v>
      </c>
      <c r="G25" s="262"/>
      <c r="H25" s="262"/>
      <c r="I25" s="261">
        <f t="shared" si="42"/>
        <v>0</v>
      </c>
      <c r="J25" s="262">
        <f t="shared" si="28"/>
        <v>16782120</v>
      </c>
      <c r="K25" s="262">
        <f t="shared" si="28"/>
        <v>16782.12</v>
      </c>
      <c r="L25" s="261"/>
      <c r="M25" s="262">
        <f t="shared" si="43"/>
        <v>16782120</v>
      </c>
      <c r="N25" s="261">
        <f t="shared" si="44"/>
        <v>0</v>
      </c>
      <c r="O25" s="262">
        <f t="shared" si="29"/>
        <v>16782.12</v>
      </c>
      <c r="P25" s="262">
        <v>16782120</v>
      </c>
      <c r="Q25" s="265">
        <f t="shared" si="30"/>
        <v>33564240</v>
      </c>
      <c r="R25" s="261">
        <f t="shared" si="45"/>
        <v>16782.12</v>
      </c>
      <c r="S25" s="261">
        <f t="shared" si="45"/>
        <v>33564.24</v>
      </c>
      <c r="T25" s="261"/>
      <c r="U25" s="262">
        <f t="shared" si="31"/>
        <v>33564240</v>
      </c>
      <c r="V25" s="261">
        <f t="shared" si="46"/>
        <v>0</v>
      </c>
      <c r="W25" s="262">
        <f t="shared" si="32"/>
        <v>33564.24</v>
      </c>
      <c r="X25" s="262"/>
      <c r="Y25" s="262">
        <f t="shared" si="33"/>
        <v>33564240</v>
      </c>
      <c r="Z25" s="261">
        <f t="shared" si="47"/>
        <v>0</v>
      </c>
      <c r="AA25" s="262">
        <f t="shared" si="48"/>
        <v>33564.24</v>
      </c>
      <c r="AB25" s="261">
        <v>16782120</v>
      </c>
      <c r="AC25" s="262">
        <f t="shared" si="34"/>
        <v>50346360</v>
      </c>
      <c r="AD25" s="261">
        <f>AB25/1000</f>
        <v>16782.12</v>
      </c>
      <c r="AE25" s="262">
        <f t="shared" si="35"/>
        <v>50346.36</v>
      </c>
      <c r="AF25" s="262"/>
      <c r="AG25" s="262">
        <f t="shared" si="36"/>
        <v>50346360</v>
      </c>
      <c r="AH25" s="261">
        <f t="shared" si="37"/>
        <v>0</v>
      </c>
      <c r="AI25" s="262">
        <f t="shared" si="38"/>
        <v>50346.36</v>
      </c>
      <c r="AJ25" s="262"/>
      <c r="AK25" s="262">
        <f t="shared" si="49"/>
        <v>50346360</v>
      </c>
      <c r="AL25" s="261">
        <f t="shared" si="39"/>
        <v>0</v>
      </c>
      <c r="AM25" s="262">
        <f t="shared" si="40"/>
        <v>50346.36</v>
      </c>
      <c r="AN25" s="261">
        <v>16782120</v>
      </c>
      <c r="AO25" s="262">
        <f t="shared" si="0"/>
        <v>67128480</v>
      </c>
      <c r="AP25" s="261">
        <f t="shared" si="50"/>
        <v>16782.12</v>
      </c>
      <c r="AQ25" s="262">
        <f t="shared" si="51"/>
        <v>67128.48</v>
      </c>
    </row>
    <row r="26" spans="1:43" ht="30">
      <c r="A26" s="264" t="s">
        <v>630</v>
      </c>
      <c r="B26" s="262"/>
      <c r="C26" s="262"/>
      <c r="D26" s="262"/>
      <c r="E26" s="262">
        <f t="shared" si="27"/>
        <v>0</v>
      </c>
      <c r="F26" s="262">
        <f t="shared" si="41"/>
        <v>0</v>
      </c>
      <c r="G26" s="262"/>
      <c r="H26" s="262"/>
      <c r="I26" s="261">
        <f t="shared" si="42"/>
        <v>0</v>
      </c>
      <c r="J26" s="262">
        <f t="shared" si="28"/>
        <v>0</v>
      </c>
      <c r="K26" s="262">
        <f t="shared" si="28"/>
        <v>0</v>
      </c>
      <c r="L26" s="261"/>
      <c r="M26" s="262">
        <f t="shared" si="43"/>
        <v>0</v>
      </c>
      <c r="N26" s="261">
        <f t="shared" si="44"/>
        <v>0</v>
      </c>
      <c r="O26" s="262">
        <f t="shared" si="29"/>
        <v>0</v>
      </c>
      <c r="P26" s="262"/>
      <c r="Q26" s="265">
        <f t="shared" si="30"/>
        <v>0</v>
      </c>
      <c r="R26" s="261">
        <f t="shared" si="45"/>
        <v>0</v>
      </c>
      <c r="S26" s="261">
        <f t="shared" si="45"/>
        <v>0</v>
      </c>
      <c r="T26" s="261"/>
      <c r="U26" s="262">
        <f t="shared" si="31"/>
        <v>0</v>
      </c>
      <c r="V26" s="261">
        <f t="shared" si="46"/>
        <v>0</v>
      </c>
      <c r="W26" s="262">
        <f t="shared" si="32"/>
        <v>0</v>
      </c>
      <c r="X26" s="262"/>
      <c r="Y26" s="262">
        <f t="shared" si="33"/>
        <v>0</v>
      </c>
      <c r="Z26" s="261">
        <f t="shared" si="47"/>
        <v>0</v>
      </c>
      <c r="AA26" s="262">
        <f t="shared" si="48"/>
        <v>0</v>
      </c>
      <c r="AB26" s="261"/>
      <c r="AC26" s="262">
        <f t="shared" si="34"/>
        <v>0</v>
      </c>
      <c r="AD26" s="261"/>
      <c r="AE26" s="262">
        <f t="shared" si="35"/>
        <v>0</v>
      </c>
      <c r="AF26" s="262"/>
      <c r="AG26" s="262">
        <f t="shared" si="36"/>
        <v>0</v>
      </c>
      <c r="AH26" s="261">
        <f t="shared" si="37"/>
        <v>0</v>
      </c>
      <c r="AI26" s="262">
        <f t="shared" si="38"/>
        <v>0</v>
      </c>
      <c r="AJ26" s="262"/>
      <c r="AK26" s="262">
        <f t="shared" si="49"/>
        <v>0</v>
      </c>
      <c r="AL26" s="261">
        <f t="shared" si="39"/>
        <v>0</v>
      </c>
      <c r="AM26" s="262">
        <f t="shared" si="40"/>
        <v>0</v>
      </c>
      <c r="AN26" s="261"/>
      <c r="AO26" s="262">
        <f t="shared" si="0"/>
        <v>0</v>
      </c>
      <c r="AP26" s="261">
        <f t="shared" si="50"/>
        <v>0</v>
      </c>
      <c r="AQ26" s="262">
        <f t="shared" si="51"/>
        <v>0</v>
      </c>
    </row>
    <row r="27" spans="1:43" ht="45">
      <c r="A27" s="264" t="s">
        <v>656</v>
      </c>
      <c r="B27" s="262"/>
      <c r="C27" s="262"/>
      <c r="D27" s="262"/>
      <c r="E27" s="262">
        <f t="shared" si="27"/>
        <v>0</v>
      </c>
      <c r="F27" s="262">
        <f t="shared" si="41"/>
        <v>0</v>
      </c>
      <c r="G27" s="262"/>
      <c r="H27" s="262"/>
      <c r="I27" s="261">
        <f t="shared" si="42"/>
        <v>0</v>
      </c>
      <c r="J27" s="262">
        <f t="shared" si="28"/>
        <v>0</v>
      </c>
      <c r="K27" s="262">
        <f t="shared" si="28"/>
        <v>0</v>
      </c>
      <c r="L27" s="261"/>
      <c r="M27" s="262">
        <f t="shared" si="43"/>
        <v>0</v>
      </c>
      <c r="N27" s="261">
        <f t="shared" si="44"/>
        <v>0</v>
      </c>
      <c r="O27" s="262">
        <f t="shared" si="29"/>
        <v>0</v>
      </c>
      <c r="P27" s="262"/>
      <c r="Q27" s="265">
        <f t="shared" si="30"/>
        <v>0</v>
      </c>
      <c r="R27" s="261">
        <f t="shared" si="45"/>
        <v>0</v>
      </c>
      <c r="S27" s="261">
        <f t="shared" si="45"/>
        <v>0</v>
      </c>
      <c r="T27" s="336"/>
      <c r="U27" s="262">
        <v>149540.29</v>
      </c>
      <c r="V27" s="261">
        <f t="shared" si="46"/>
        <v>0</v>
      </c>
      <c r="W27" s="262">
        <f t="shared" si="32"/>
        <v>0</v>
      </c>
      <c r="X27" s="262"/>
      <c r="Y27" s="262">
        <f t="shared" si="33"/>
        <v>149540.29</v>
      </c>
      <c r="Z27" s="261">
        <f t="shared" si="47"/>
        <v>0</v>
      </c>
      <c r="AA27" s="262">
        <f t="shared" si="48"/>
        <v>0</v>
      </c>
      <c r="AB27" s="261"/>
      <c r="AC27" s="262">
        <f t="shared" si="34"/>
        <v>149540.29</v>
      </c>
      <c r="AD27" s="261">
        <v>149.54029</v>
      </c>
      <c r="AE27" s="262">
        <f t="shared" si="35"/>
        <v>149.54029</v>
      </c>
      <c r="AF27" s="262"/>
      <c r="AG27" s="262">
        <f t="shared" si="36"/>
        <v>149540.29</v>
      </c>
      <c r="AH27" s="261">
        <f t="shared" si="37"/>
        <v>0</v>
      </c>
      <c r="AI27" s="262">
        <f t="shared" si="38"/>
        <v>149.54029</v>
      </c>
      <c r="AJ27" s="262"/>
      <c r="AK27" s="262">
        <f t="shared" si="49"/>
        <v>149540.29</v>
      </c>
      <c r="AL27" s="261">
        <f t="shared" si="39"/>
        <v>0</v>
      </c>
      <c r="AM27" s="262">
        <f t="shared" si="40"/>
        <v>149.54029</v>
      </c>
      <c r="AN27" s="261"/>
      <c r="AO27" s="262">
        <f t="shared" si="0"/>
        <v>149540.29</v>
      </c>
      <c r="AP27" s="261">
        <f t="shared" si="50"/>
        <v>0</v>
      </c>
      <c r="AQ27" s="262">
        <f t="shared" si="51"/>
        <v>149.54029</v>
      </c>
    </row>
    <row r="28" spans="1:44" ht="15">
      <c r="A28" s="277" t="s">
        <v>631</v>
      </c>
      <c r="B28" s="262"/>
      <c r="C28" s="262">
        <v>18784034.8</v>
      </c>
      <c r="D28" s="262">
        <v>3930253.9</v>
      </c>
      <c r="E28" s="262">
        <f t="shared" si="27"/>
        <v>22714288.7</v>
      </c>
      <c r="F28" s="262">
        <f t="shared" si="41"/>
        <v>22714.2887</v>
      </c>
      <c r="G28" s="262"/>
      <c r="H28" s="262"/>
      <c r="I28" s="261">
        <f t="shared" si="42"/>
        <v>0</v>
      </c>
      <c r="J28" s="262">
        <f t="shared" si="28"/>
        <v>22714288.7</v>
      </c>
      <c r="K28" s="262">
        <f t="shared" si="28"/>
        <v>22714.2887</v>
      </c>
      <c r="L28" s="261"/>
      <c r="M28" s="262">
        <f t="shared" si="43"/>
        <v>22714288.7</v>
      </c>
      <c r="N28" s="261">
        <f t="shared" si="44"/>
        <v>0</v>
      </c>
      <c r="O28" s="262">
        <f t="shared" si="29"/>
        <v>22714.2887</v>
      </c>
      <c r="P28" s="262"/>
      <c r="Q28" s="265">
        <f t="shared" si="30"/>
        <v>22714288.7</v>
      </c>
      <c r="R28" s="261">
        <f t="shared" si="45"/>
        <v>0</v>
      </c>
      <c r="S28" s="261">
        <f t="shared" si="45"/>
        <v>22714.2887</v>
      </c>
      <c r="T28" s="262"/>
      <c r="U28" s="262">
        <f t="shared" si="31"/>
        <v>22714288.7</v>
      </c>
      <c r="V28" s="261">
        <f t="shared" si="46"/>
        <v>0</v>
      </c>
      <c r="W28" s="262">
        <f t="shared" si="32"/>
        <v>22714.2887</v>
      </c>
      <c r="X28" s="262">
        <v>1140295.18</v>
      </c>
      <c r="Y28" s="262">
        <f t="shared" si="33"/>
        <v>23854583.88</v>
      </c>
      <c r="Z28" s="261">
        <f t="shared" si="47"/>
        <v>1140.2951799999998</v>
      </c>
      <c r="AA28" s="262">
        <f t="shared" si="48"/>
        <v>23854.583880000002</v>
      </c>
      <c r="AB28" s="261"/>
      <c r="AC28" s="262">
        <f t="shared" si="34"/>
        <v>23854583.88</v>
      </c>
      <c r="AD28" s="261"/>
      <c r="AE28" s="262">
        <f t="shared" si="35"/>
        <v>23854.583880000002</v>
      </c>
      <c r="AF28" s="262">
        <v>118944</v>
      </c>
      <c r="AG28" s="262">
        <f t="shared" si="36"/>
        <v>23973527.88</v>
      </c>
      <c r="AH28" s="261">
        <f t="shared" si="37"/>
        <v>118.944</v>
      </c>
      <c r="AI28" s="262">
        <f t="shared" si="38"/>
        <v>23973.52788</v>
      </c>
      <c r="AJ28" s="262"/>
      <c r="AK28" s="262">
        <f t="shared" si="49"/>
        <v>23973527.88</v>
      </c>
      <c r="AL28" s="261">
        <f t="shared" si="39"/>
        <v>0</v>
      </c>
      <c r="AM28" s="262">
        <f t="shared" si="40"/>
        <v>23973.52788</v>
      </c>
      <c r="AN28" s="261">
        <v>47891076.21</v>
      </c>
      <c r="AO28" s="262">
        <f t="shared" si="0"/>
        <v>71864604.09</v>
      </c>
      <c r="AP28" s="261">
        <f t="shared" si="50"/>
        <v>47891.07621</v>
      </c>
      <c r="AQ28" s="262">
        <f t="shared" si="51"/>
        <v>71864.60409000001</v>
      </c>
      <c r="AR28" s="51"/>
    </row>
    <row r="29" spans="1:43" ht="15">
      <c r="A29" s="283" t="s">
        <v>632</v>
      </c>
      <c r="B29" s="262"/>
      <c r="C29" s="262"/>
      <c r="D29" s="262"/>
      <c r="E29" s="262">
        <f t="shared" si="27"/>
        <v>0</v>
      </c>
      <c r="F29" s="262">
        <f t="shared" si="41"/>
        <v>0</v>
      </c>
      <c r="G29" s="262"/>
      <c r="H29" s="262">
        <v>124152</v>
      </c>
      <c r="I29" s="261">
        <f t="shared" si="42"/>
        <v>124.152</v>
      </c>
      <c r="J29" s="262">
        <f t="shared" si="28"/>
        <v>124152</v>
      </c>
      <c r="K29" s="262">
        <f t="shared" si="28"/>
        <v>124.152</v>
      </c>
      <c r="L29" s="261"/>
      <c r="M29" s="262">
        <f t="shared" si="43"/>
        <v>124152</v>
      </c>
      <c r="N29" s="261">
        <f t="shared" si="44"/>
        <v>0</v>
      </c>
      <c r="O29" s="262">
        <f t="shared" si="29"/>
        <v>124.152</v>
      </c>
      <c r="P29" s="262"/>
      <c r="Q29" s="265">
        <f t="shared" si="30"/>
        <v>124152</v>
      </c>
      <c r="R29" s="261">
        <f t="shared" si="45"/>
        <v>0</v>
      </c>
      <c r="S29" s="261">
        <f t="shared" si="45"/>
        <v>124.152</v>
      </c>
      <c r="T29" s="262"/>
      <c r="U29" s="262">
        <f t="shared" si="31"/>
        <v>124152</v>
      </c>
      <c r="V29" s="261">
        <f t="shared" si="46"/>
        <v>0</v>
      </c>
      <c r="W29" s="262">
        <f t="shared" si="32"/>
        <v>124.152</v>
      </c>
      <c r="X29" s="262"/>
      <c r="Y29" s="262">
        <f t="shared" si="33"/>
        <v>124152</v>
      </c>
      <c r="Z29" s="261">
        <f t="shared" si="47"/>
        <v>0</v>
      </c>
      <c r="AA29" s="262">
        <f t="shared" si="48"/>
        <v>124.152</v>
      </c>
      <c r="AB29" s="261"/>
      <c r="AC29" s="262">
        <f t="shared" si="34"/>
        <v>124152</v>
      </c>
      <c r="AD29" s="261"/>
      <c r="AE29" s="262">
        <f t="shared" si="35"/>
        <v>124.152</v>
      </c>
      <c r="AF29" s="262"/>
      <c r="AG29" s="262">
        <f t="shared" si="36"/>
        <v>124152</v>
      </c>
      <c r="AH29" s="261">
        <f t="shared" si="37"/>
        <v>0</v>
      </c>
      <c r="AI29" s="262">
        <f t="shared" si="38"/>
        <v>124.152</v>
      </c>
      <c r="AJ29" s="262"/>
      <c r="AK29" s="262">
        <f t="shared" si="49"/>
        <v>124152</v>
      </c>
      <c r="AL29" s="261">
        <f t="shared" si="39"/>
        <v>0</v>
      </c>
      <c r="AM29" s="262">
        <f t="shared" si="40"/>
        <v>124.152</v>
      </c>
      <c r="AN29" s="261"/>
      <c r="AO29" s="262">
        <f t="shared" si="0"/>
        <v>124152</v>
      </c>
      <c r="AP29" s="261">
        <f t="shared" si="50"/>
        <v>0</v>
      </c>
      <c r="AQ29" s="262">
        <f t="shared" si="51"/>
        <v>124.152</v>
      </c>
    </row>
    <row r="30" spans="1:44" ht="15">
      <c r="A30" s="284" t="s">
        <v>633</v>
      </c>
      <c r="B30" s="262"/>
      <c r="C30" s="262"/>
      <c r="D30" s="262"/>
      <c r="E30" s="262"/>
      <c r="F30" s="262"/>
      <c r="G30" s="262"/>
      <c r="H30" s="262"/>
      <c r="I30" s="261"/>
      <c r="J30" s="262"/>
      <c r="K30" s="262"/>
      <c r="L30" s="261">
        <v>230208.33</v>
      </c>
      <c r="M30" s="262">
        <f t="shared" si="43"/>
        <v>230208.33</v>
      </c>
      <c r="N30" s="261">
        <f t="shared" si="44"/>
        <v>230.20833</v>
      </c>
      <c r="O30" s="262">
        <f t="shared" si="29"/>
        <v>230.20833</v>
      </c>
      <c r="P30" s="262">
        <v>644583.34</v>
      </c>
      <c r="Q30" s="265">
        <f t="shared" si="30"/>
        <v>874791.6699999999</v>
      </c>
      <c r="R30" s="261">
        <f t="shared" si="45"/>
        <v>644.58334</v>
      </c>
      <c r="S30" s="261">
        <f t="shared" si="45"/>
        <v>874.79167</v>
      </c>
      <c r="T30" s="261"/>
      <c r="U30" s="262">
        <f t="shared" si="31"/>
        <v>874791.6699999999</v>
      </c>
      <c r="V30" s="261">
        <f t="shared" si="46"/>
        <v>0</v>
      </c>
      <c r="W30" s="262">
        <f t="shared" si="32"/>
        <v>874.79167</v>
      </c>
      <c r="X30" s="262">
        <v>2054654.15</v>
      </c>
      <c r="Y30" s="262">
        <f t="shared" si="33"/>
        <v>2929445.82</v>
      </c>
      <c r="Z30" s="261">
        <f t="shared" si="47"/>
        <v>2054.65415</v>
      </c>
      <c r="AA30" s="262">
        <f t="shared" si="48"/>
        <v>2929.44582</v>
      </c>
      <c r="AB30" s="262">
        <v>2284261.69</v>
      </c>
      <c r="AC30" s="262">
        <f t="shared" si="34"/>
        <v>5213707.51</v>
      </c>
      <c r="AD30" s="261">
        <f>AB30/1000</f>
        <v>2284.26169</v>
      </c>
      <c r="AE30" s="262">
        <f t="shared" si="35"/>
        <v>5213.70751</v>
      </c>
      <c r="AF30" s="262">
        <v>12478230.76</v>
      </c>
      <c r="AG30" s="262">
        <f t="shared" si="36"/>
        <v>17691938.27</v>
      </c>
      <c r="AH30" s="261">
        <f t="shared" si="37"/>
        <v>12478.23076</v>
      </c>
      <c r="AI30" s="262">
        <f t="shared" si="38"/>
        <v>17691.93827</v>
      </c>
      <c r="AJ30" s="262">
        <v>6425974.69</v>
      </c>
      <c r="AK30" s="262">
        <f t="shared" si="49"/>
        <v>24117912.96</v>
      </c>
      <c r="AL30" s="261">
        <f t="shared" si="39"/>
        <v>6425.97469</v>
      </c>
      <c r="AM30" s="262">
        <f t="shared" si="40"/>
        <v>24117.912959999998</v>
      </c>
      <c r="AN30" s="261">
        <v>4726634.33</v>
      </c>
      <c r="AO30" s="262">
        <f t="shared" si="0"/>
        <v>28844547.29</v>
      </c>
      <c r="AP30" s="261">
        <f t="shared" si="50"/>
        <v>4726.63433</v>
      </c>
      <c r="AQ30" s="262">
        <f t="shared" si="51"/>
        <v>28844.54729</v>
      </c>
      <c r="AR30" s="51"/>
    </row>
    <row r="31" spans="1:44" ht="30">
      <c r="A31" s="284" t="s">
        <v>681</v>
      </c>
      <c r="B31" s="262"/>
      <c r="C31" s="262"/>
      <c r="D31" s="262"/>
      <c r="E31" s="262"/>
      <c r="F31" s="262"/>
      <c r="G31" s="262"/>
      <c r="H31" s="262"/>
      <c r="I31" s="261"/>
      <c r="J31" s="262"/>
      <c r="K31" s="262"/>
      <c r="L31" s="261"/>
      <c r="M31" s="262"/>
      <c r="N31" s="261"/>
      <c r="O31" s="262"/>
      <c r="P31" s="262"/>
      <c r="Q31" s="265"/>
      <c r="R31" s="261"/>
      <c r="S31" s="261"/>
      <c r="T31" s="261"/>
      <c r="U31" s="262"/>
      <c r="V31" s="261"/>
      <c r="W31" s="262"/>
      <c r="X31" s="262"/>
      <c r="Y31" s="262"/>
      <c r="Z31" s="261"/>
      <c r="AA31" s="262"/>
      <c r="AB31" s="262"/>
      <c r="AC31" s="262"/>
      <c r="AD31" s="261"/>
      <c r="AE31" s="262"/>
      <c r="AF31" s="262">
        <v>2243978.48</v>
      </c>
      <c r="AG31" s="262">
        <f t="shared" si="36"/>
        <v>2243978.48</v>
      </c>
      <c r="AH31" s="261">
        <f t="shared" si="37"/>
        <v>2243.9784799999998</v>
      </c>
      <c r="AI31" s="262">
        <f t="shared" si="38"/>
        <v>2243.9784799999998</v>
      </c>
      <c r="AJ31" s="262"/>
      <c r="AK31" s="262">
        <f t="shared" si="49"/>
        <v>2243978.48</v>
      </c>
      <c r="AL31" s="261">
        <f t="shared" si="39"/>
        <v>0</v>
      </c>
      <c r="AM31" s="262">
        <f t="shared" si="40"/>
        <v>2243.9784799999998</v>
      </c>
      <c r="AN31" s="262"/>
      <c r="AO31" s="262">
        <f t="shared" si="0"/>
        <v>2243978.48</v>
      </c>
      <c r="AP31" s="261">
        <f t="shared" si="50"/>
        <v>0</v>
      </c>
      <c r="AQ31" s="262">
        <f>AM31+AP31</f>
        <v>2243.9784799999998</v>
      </c>
      <c r="AR31" s="51"/>
    </row>
    <row r="32" spans="1:44" ht="16.5" thickBot="1">
      <c r="A32" s="285" t="s">
        <v>634</v>
      </c>
      <c r="B32" s="269">
        <f>SUM(B20:B29)</f>
        <v>2544354.45</v>
      </c>
      <c r="C32" s="269">
        <f>SUM(C20:C29)</f>
        <v>22327152.21</v>
      </c>
      <c r="D32" s="269">
        <f>SUM(D20:D29)</f>
        <v>24519741.259999998</v>
      </c>
      <c r="E32" s="269">
        <f>SUM(E20:E29)</f>
        <v>49391247.92</v>
      </c>
      <c r="F32" s="269">
        <f>SUM(F20:F29)</f>
        <v>49391.24792</v>
      </c>
      <c r="G32" s="269"/>
      <c r="H32" s="269">
        <f>SUM(H20:H29)</f>
        <v>4280442.06</v>
      </c>
      <c r="I32" s="272">
        <f>SUM(I20:I29)</f>
        <v>4280.442059999999</v>
      </c>
      <c r="J32" s="269">
        <f>SUM(J20:J29)</f>
        <v>53671689.980000004</v>
      </c>
      <c r="K32" s="269">
        <f>SUM(K20:K29)</f>
        <v>53671.68998</v>
      </c>
      <c r="L32" s="269">
        <f aca="true" t="shared" si="52" ref="L32:AD32">SUM(L20:L30)</f>
        <v>4190754.16</v>
      </c>
      <c r="M32" s="269">
        <f t="shared" si="52"/>
        <v>57862444.14</v>
      </c>
      <c r="N32" s="272">
        <f t="shared" si="52"/>
        <v>4190.75416</v>
      </c>
      <c r="O32" s="269">
        <f t="shared" si="52"/>
        <v>57862.44414</v>
      </c>
      <c r="P32" s="270">
        <f t="shared" si="52"/>
        <v>22132641.48</v>
      </c>
      <c r="Q32" s="271">
        <f t="shared" si="52"/>
        <v>79995085.62</v>
      </c>
      <c r="R32" s="270">
        <f t="shared" si="52"/>
        <v>22132.641480000002</v>
      </c>
      <c r="S32" s="269">
        <f t="shared" si="52"/>
        <v>79995.08562000001</v>
      </c>
      <c r="T32" s="269">
        <f t="shared" si="52"/>
        <v>5372648.210000001</v>
      </c>
      <c r="U32" s="269">
        <f t="shared" si="52"/>
        <v>85517274.12</v>
      </c>
      <c r="V32" s="272">
        <f t="shared" si="52"/>
        <v>5372.64821</v>
      </c>
      <c r="W32" s="269">
        <f t="shared" si="52"/>
        <v>85367.73383000001</v>
      </c>
      <c r="X32" s="269">
        <f t="shared" si="52"/>
        <v>7317545.629999999</v>
      </c>
      <c r="Y32" s="269">
        <f t="shared" si="52"/>
        <v>92834819.75</v>
      </c>
      <c r="Z32" s="272">
        <f t="shared" si="52"/>
        <v>7317.5456300000005</v>
      </c>
      <c r="AA32" s="269">
        <f t="shared" si="52"/>
        <v>92685.27946</v>
      </c>
      <c r="AB32" s="269">
        <f t="shared" si="52"/>
        <v>22790648.78</v>
      </c>
      <c r="AC32" s="269">
        <f t="shared" si="52"/>
        <v>115625468.53</v>
      </c>
      <c r="AD32" s="269">
        <f t="shared" si="52"/>
        <v>22940.18907</v>
      </c>
      <c r="AE32" s="269">
        <f>SUM(AE20:AE30)</f>
        <v>115625.46853000001</v>
      </c>
      <c r="AF32" s="269">
        <f aca="true" t="shared" si="53" ref="AF32:AM32">SUM(AF20:AF31)</f>
        <v>19299838.900000002</v>
      </c>
      <c r="AG32" s="269">
        <f t="shared" si="53"/>
        <v>134925307.43</v>
      </c>
      <c r="AH32" s="272">
        <f t="shared" si="53"/>
        <v>19299.838900000002</v>
      </c>
      <c r="AI32" s="269">
        <f t="shared" si="53"/>
        <v>134925.30743</v>
      </c>
      <c r="AJ32" s="269">
        <f t="shared" si="53"/>
        <v>10101039.14</v>
      </c>
      <c r="AK32" s="269">
        <f t="shared" si="53"/>
        <v>145026346.57</v>
      </c>
      <c r="AL32" s="272">
        <f t="shared" si="53"/>
        <v>10101.03914</v>
      </c>
      <c r="AM32" s="269">
        <f t="shared" si="53"/>
        <v>145026.34657</v>
      </c>
      <c r="AN32" s="269">
        <f>SUM(AN20:AN31)</f>
        <v>73976925.13</v>
      </c>
      <c r="AO32" s="269">
        <f t="shared" si="0"/>
        <v>219003271.7</v>
      </c>
      <c r="AP32" s="269">
        <f>SUM(AP20:AP31)</f>
        <v>73976.92513</v>
      </c>
      <c r="AQ32" s="269">
        <f>SUM(AQ20:AQ31)</f>
        <v>219003.2717</v>
      </c>
      <c r="AR32" s="51">
        <f>AO32-AO31-AO30-AO25-AO22</f>
        <v>110007679.06</v>
      </c>
    </row>
    <row r="33" spans="1:44" ht="15">
      <c r="A33" s="282"/>
      <c r="B33" s="261"/>
      <c r="C33" s="261"/>
      <c r="D33" s="261"/>
      <c r="E33" s="262">
        <f>E32-E22</f>
        <v>47249130.43</v>
      </c>
      <c r="F33" s="261"/>
      <c r="G33" s="262"/>
      <c r="H33" s="261"/>
      <c r="I33" s="261"/>
      <c r="J33" s="261"/>
      <c r="K33" s="261"/>
      <c r="L33" s="261"/>
      <c r="M33" s="261"/>
      <c r="N33" s="261"/>
      <c r="O33" s="261"/>
      <c r="P33" s="261"/>
      <c r="Q33" s="263"/>
      <c r="R33" s="261"/>
      <c r="S33" s="261"/>
      <c r="T33" s="261"/>
      <c r="U33" s="261"/>
      <c r="V33" s="261"/>
      <c r="W33" s="261"/>
      <c r="X33" s="262"/>
      <c r="Y33" s="261"/>
      <c r="Z33" s="261"/>
      <c r="AA33" s="261"/>
      <c r="AB33" s="261"/>
      <c r="AC33" s="261"/>
      <c r="AD33" s="261"/>
      <c r="AE33" s="261"/>
      <c r="AF33" s="262"/>
      <c r="AG33" s="261"/>
      <c r="AH33" s="261"/>
      <c r="AI33" s="261"/>
      <c r="AJ33" s="262"/>
      <c r="AK33" s="261"/>
      <c r="AL33" s="261"/>
      <c r="AM33" s="261"/>
      <c r="AN33" s="261"/>
      <c r="AO33" s="262">
        <f t="shared" si="0"/>
        <v>0</v>
      </c>
      <c r="AP33" s="261"/>
      <c r="AQ33" s="261"/>
      <c r="AR33" s="51">
        <f>AR32-AO35-AO36-AO37</f>
        <v>86913251.10000001</v>
      </c>
    </row>
    <row r="34" spans="1:44" ht="15.75">
      <c r="A34" s="286" t="s">
        <v>635</v>
      </c>
      <c r="B34" s="261"/>
      <c r="C34" s="261"/>
      <c r="D34" s="261"/>
      <c r="E34" s="261"/>
      <c r="F34" s="261"/>
      <c r="G34" s="262"/>
      <c r="H34" s="262"/>
      <c r="I34" s="261"/>
      <c r="J34" s="261"/>
      <c r="K34" s="261"/>
      <c r="L34" s="261"/>
      <c r="M34" s="261"/>
      <c r="N34" s="261"/>
      <c r="O34" s="261"/>
      <c r="P34" s="261"/>
      <c r="Q34" s="263"/>
      <c r="R34" s="261"/>
      <c r="S34" s="261"/>
      <c r="T34" s="261"/>
      <c r="U34" s="261"/>
      <c r="V34" s="261"/>
      <c r="W34" s="261"/>
      <c r="X34" s="262"/>
      <c r="Y34" s="261"/>
      <c r="Z34" s="261"/>
      <c r="AA34" s="261"/>
      <c r="AB34" s="261"/>
      <c r="AC34" s="261"/>
      <c r="AD34" s="261"/>
      <c r="AE34" s="261"/>
      <c r="AF34" s="262"/>
      <c r="AG34" s="261"/>
      <c r="AH34" s="261"/>
      <c r="AI34" s="261"/>
      <c r="AJ34" s="262"/>
      <c r="AK34" s="261"/>
      <c r="AL34" s="261"/>
      <c r="AM34" s="261"/>
      <c r="AN34" s="261"/>
      <c r="AO34" s="262">
        <f t="shared" si="0"/>
        <v>0</v>
      </c>
      <c r="AP34" s="261"/>
      <c r="AQ34" s="261"/>
      <c r="AR34" s="51"/>
    </row>
    <row r="35" spans="1:43" ht="30">
      <c r="A35" s="283" t="s">
        <v>636</v>
      </c>
      <c r="B35" s="262"/>
      <c r="C35" s="262"/>
      <c r="D35" s="262"/>
      <c r="E35" s="262">
        <f>B35+C35+D35</f>
        <v>0</v>
      </c>
      <c r="F35" s="262"/>
      <c r="G35" s="262"/>
      <c r="H35" s="261"/>
      <c r="I35" s="261">
        <f>H35/1000</f>
        <v>0</v>
      </c>
      <c r="J35" s="262">
        <f aca="true" t="shared" si="54" ref="J35:K38">E35+H35</f>
        <v>0</v>
      </c>
      <c r="K35" s="262">
        <f>F35+I35</f>
        <v>0</v>
      </c>
      <c r="L35" s="261">
        <v>27350.38</v>
      </c>
      <c r="M35" s="262">
        <f>J35+L35</f>
        <v>27350.38</v>
      </c>
      <c r="N35" s="261">
        <f>L35/1000</f>
        <v>27.35038</v>
      </c>
      <c r="O35" s="262">
        <f>K35+N35</f>
        <v>27.35038</v>
      </c>
      <c r="P35" s="261">
        <v>100</v>
      </c>
      <c r="Q35" s="265">
        <f>M35+P35</f>
        <v>27450.38</v>
      </c>
      <c r="R35" s="261">
        <f>P35/1000</f>
        <v>0.1</v>
      </c>
      <c r="S35" s="262">
        <f>O35+R35</f>
        <v>27.450380000000003</v>
      </c>
      <c r="T35" s="261">
        <v>5737</v>
      </c>
      <c r="U35" s="262">
        <f>Q35+T35</f>
        <v>33187.380000000005</v>
      </c>
      <c r="V35" s="261">
        <f>T35/1000</f>
        <v>5.737</v>
      </c>
      <c r="W35" s="262">
        <f>S35+V35</f>
        <v>33.187380000000005</v>
      </c>
      <c r="X35" s="262">
        <v>12459.04</v>
      </c>
      <c r="Y35" s="262">
        <f>U35+X35</f>
        <v>45646.420000000006</v>
      </c>
      <c r="Z35" s="261">
        <f>X35/1000</f>
        <v>12.459040000000002</v>
      </c>
      <c r="AA35" s="262">
        <f>W35+Z35</f>
        <v>45.646420000000006</v>
      </c>
      <c r="AB35" s="261">
        <v>42970</v>
      </c>
      <c r="AC35" s="262">
        <f>Y35+AB35</f>
        <v>88616.42000000001</v>
      </c>
      <c r="AD35" s="261">
        <f>AB35/1000</f>
        <v>42.97</v>
      </c>
      <c r="AE35" s="262">
        <f>AA35+AD35</f>
        <v>88.61642</v>
      </c>
      <c r="AF35" s="262">
        <v>1000</v>
      </c>
      <c r="AG35" s="262">
        <f>AC35+AF35</f>
        <v>89616.42000000001</v>
      </c>
      <c r="AH35" s="261">
        <f>AF35/1000</f>
        <v>1</v>
      </c>
      <c r="AI35" s="262">
        <f>AE35+AH35</f>
        <v>89.61642</v>
      </c>
      <c r="AJ35" s="262">
        <v>400</v>
      </c>
      <c r="AK35" s="262">
        <f>AG35+AJ35</f>
        <v>90016.42000000001</v>
      </c>
      <c r="AL35" s="261">
        <f>AJ35/1000</f>
        <v>0.4</v>
      </c>
      <c r="AM35" s="262">
        <f>AI35+AL35</f>
        <v>90.01642000000001</v>
      </c>
      <c r="AN35" s="261">
        <v>19300</v>
      </c>
      <c r="AO35" s="262">
        <f t="shared" si="0"/>
        <v>109316.42000000001</v>
      </c>
      <c r="AP35" s="261">
        <f>AN35/1000</f>
        <v>19.3</v>
      </c>
      <c r="AQ35" s="262">
        <f>AM35+AP35</f>
        <v>109.31642000000001</v>
      </c>
    </row>
    <row r="36" spans="1:43" ht="15">
      <c r="A36" s="283" t="s">
        <v>637</v>
      </c>
      <c r="B36" s="262"/>
      <c r="C36" s="262"/>
      <c r="D36" s="262"/>
      <c r="E36" s="262">
        <f>B36+C36+D36</f>
        <v>0</v>
      </c>
      <c r="F36" s="262"/>
      <c r="G36" s="262"/>
      <c r="H36" s="261"/>
      <c r="I36" s="261">
        <f>H36/1000</f>
        <v>0</v>
      </c>
      <c r="J36" s="262">
        <f t="shared" si="54"/>
        <v>0</v>
      </c>
      <c r="K36" s="262">
        <f t="shared" si="54"/>
        <v>0</v>
      </c>
      <c r="L36" s="261"/>
      <c r="M36" s="261"/>
      <c r="N36" s="261">
        <f>L36/1000</f>
        <v>0</v>
      </c>
      <c r="O36" s="262">
        <f>K36+N36</f>
        <v>0</v>
      </c>
      <c r="P36" s="261"/>
      <c r="Q36" s="265">
        <f>M36+P36</f>
        <v>0</v>
      </c>
      <c r="R36" s="261">
        <f>P36/1000</f>
        <v>0</v>
      </c>
      <c r="S36" s="262">
        <f>O36+R36</f>
        <v>0</v>
      </c>
      <c r="T36" s="261"/>
      <c r="U36" s="262">
        <f>Q36+T36</f>
        <v>0</v>
      </c>
      <c r="V36" s="261">
        <f>T36/1000</f>
        <v>0</v>
      </c>
      <c r="W36" s="262">
        <f>S36+V36</f>
        <v>0</v>
      </c>
      <c r="X36" s="262"/>
      <c r="Y36" s="262">
        <f>U36+X36</f>
        <v>0</v>
      </c>
      <c r="Z36" s="261">
        <f>X36/1000</f>
        <v>0</v>
      </c>
      <c r="AA36" s="262">
        <f>W36+Z36</f>
        <v>0</v>
      </c>
      <c r="AB36" s="261"/>
      <c r="AC36" s="262">
        <f>Y36+AB36</f>
        <v>0</v>
      </c>
      <c r="AD36" s="261"/>
      <c r="AE36" s="262">
        <f>AA36+AD36</f>
        <v>0</v>
      </c>
      <c r="AF36" s="262"/>
      <c r="AG36" s="262">
        <f>AC36+AF36</f>
        <v>0</v>
      </c>
      <c r="AH36" s="261">
        <f>AF36/1000</f>
        <v>0</v>
      </c>
      <c r="AI36" s="262">
        <f>AE36+AH36</f>
        <v>0</v>
      </c>
      <c r="AJ36" s="262"/>
      <c r="AK36" s="262">
        <f>AG36+AJ36</f>
        <v>0</v>
      </c>
      <c r="AL36" s="261">
        <f>AJ36/1000</f>
        <v>0</v>
      </c>
      <c r="AM36" s="262">
        <f>AI36+AL36</f>
        <v>0</v>
      </c>
      <c r="AN36" s="261">
        <v>29545.55</v>
      </c>
      <c r="AO36" s="262">
        <f t="shared" si="0"/>
        <v>29545.55</v>
      </c>
      <c r="AP36" s="261">
        <f>AN36/1000</f>
        <v>29.54555</v>
      </c>
      <c r="AQ36" s="262">
        <f>AM36+AP36</f>
        <v>29.54555</v>
      </c>
    </row>
    <row r="37" spans="1:43" ht="30">
      <c r="A37" s="283" t="s">
        <v>638</v>
      </c>
      <c r="B37" s="262">
        <v>1980323.4</v>
      </c>
      <c r="C37" s="262"/>
      <c r="D37" s="262"/>
      <c r="E37" s="262">
        <f>B37+C37+D37</f>
        <v>1980323.4</v>
      </c>
      <c r="F37" s="262">
        <f>2491989.8/1000</f>
        <v>2491.9898</v>
      </c>
      <c r="G37" s="262"/>
      <c r="H37" s="262"/>
      <c r="I37" s="261">
        <f>H37/1000</f>
        <v>0</v>
      </c>
      <c r="J37" s="262">
        <f t="shared" si="54"/>
        <v>1980323.4</v>
      </c>
      <c r="K37" s="262">
        <f t="shared" si="54"/>
        <v>2491.9898</v>
      </c>
      <c r="L37" s="261"/>
      <c r="M37" s="262">
        <f>J37+L37</f>
        <v>1980323.4</v>
      </c>
      <c r="N37" s="261">
        <f>L37/1000</f>
        <v>0</v>
      </c>
      <c r="O37" s="262">
        <f>K37+N37</f>
        <v>2491.9898</v>
      </c>
      <c r="P37" s="261"/>
      <c r="Q37" s="265">
        <f>M37+P37</f>
        <v>1980323.4</v>
      </c>
      <c r="R37" s="261">
        <f>P37/1000</f>
        <v>0</v>
      </c>
      <c r="S37" s="262">
        <f>O37+R37</f>
        <v>2491.9898</v>
      </c>
      <c r="T37" s="262"/>
      <c r="U37" s="262">
        <f>Q37+T37</f>
        <v>1980323.4</v>
      </c>
      <c r="V37" s="261">
        <f>T37/1000</f>
        <v>0</v>
      </c>
      <c r="W37" s="262">
        <f>S37+V37</f>
        <v>2491.9898</v>
      </c>
      <c r="X37" s="262"/>
      <c r="Y37" s="262">
        <f>U37+X37</f>
        <v>1980323.4</v>
      </c>
      <c r="Z37" s="261">
        <f>X37/1000</f>
        <v>0</v>
      </c>
      <c r="AA37" s="262">
        <f>W37+Z37</f>
        <v>2491.9898</v>
      </c>
      <c r="AB37" s="261"/>
      <c r="AC37" s="262">
        <f>Y37+AB37</f>
        <v>1980323.4</v>
      </c>
      <c r="AD37" s="261"/>
      <c r="AE37" s="262">
        <f>AA37+AD37</f>
        <v>2491.9898</v>
      </c>
      <c r="AF37" s="262"/>
      <c r="AG37" s="262">
        <f>AC37+AF37</f>
        <v>1980323.4</v>
      </c>
      <c r="AH37" s="261">
        <f>AF37/1000</f>
        <v>0</v>
      </c>
      <c r="AI37" s="262">
        <f>AE37+AH37</f>
        <v>2491.9898</v>
      </c>
      <c r="AJ37" s="262"/>
      <c r="AK37" s="262">
        <f>AG37+AJ37</f>
        <v>1980323.4</v>
      </c>
      <c r="AL37" s="261">
        <f>AJ37/1000</f>
        <v>0</v>
      </c>
      <c r="AM37" s="262">
        <f>AI37+AL37</f>
        <v>2491.9898</v>
      </c>
      <c r="AN37" s="261">
        <f>20978373.59-3131</f>
        <v>20975242.59</v>
      </c>
      <c r="AO37" s="262">
        <f t="shared" si="0"/>
        <v>22955565.99</v>
      </c>
      <c r="AP37" s="324">
        <f>'[3]движения ОС'!G79/1000</f>
        <v>22762.318942808306</v>
      </c>
      <c r="AQ37" s="262">
        <f>AM37+AP37</f>
        <v>25254.308742808305</v>
      </c>
    </row>
    <row r="38" spans="1:44" ht="30">
      <c r="A38" s="287" t="s">
        <v>639</v>
      </c>
      <c r="B38" s="262"/>
      <c r="C38" s="262"/>
      <c r="D38" s="262"/>
      <c r="E38" s="262">
        <f>B38+C38+D38</f>
        <v>0</v>
      </c>
      <c r="F38" s="262"/>
      <c r="G38" s="262"/>
      <c r="H38" s="262"/>
      <c r="I38" s="261">
        <f>H38/1000</f>
        <v>0</v>
      </c>
      <c r="J38" s="262">
        <f t="shared" si="54"/>
        <v>0</v>
      </c>
      <c r="K38" s="262">
        <f t="shared" si="54"/>
        <v>0</v>
      </c>
      <c r="L38" s="261"/>
      <c r="M38" s="261"/>
      <c r="N38" s="261">
        <f>L38/1000</f>
        <v>0</v>
      </c>
      <c r="O38" s="262">
        <f>K38+N38</f>
        <v>0</v>
      </c>
      <c r="P38" s="261"/>
      <c r="Q38" s="265">
        <f>M38+P38</f>
        <v>0</v>
      </c>
      <c r="R38" s="261">
        <f>P38/1000</f>
        <v>0</v>
      </c>
      <c r="S38" s="262">
        <f>O38+R38</f>
        <v>0</v>
      </c>
      <c r="T38" s="261"/>
      <c r="U38" s="262">
        <f>Q38+T38</f>
        <v>0</v>
      </c>
      <c r="V38" s="261">
        <f>T38/1000</f>
        <v>0</v>
      </c>
      <c r="W38" s="262">
        <f>S38+V38</f>
        <v>0</v>
      </c>
      <c r="X38" s="262"/>
      <c r="Y38" s="262">
        <f>U38+X38</f>
        <v>0</v>
      </c>
      <c r="Z38" s="261">
        <f>X38/1000</f>
        <v>0</v>
      </c>
      <c r="AA38" s="262">
        <f>W38+Z38</f>
        <v>0</v>
      </c>
      <c r="AB38" s="261"/>
      <c r="AC38" s="262">
        <f>Y38+AB38</f>
        <v>0</v>
      </c>
      <c r="AD38" s="261"/>
      <c r="AE38" s="262">
        <f>AA38+AD38</f>
        <v>0</v>
      </c>
      <c r="AF38" s="262"/>
      <c r="AG38" s="262">
        <f>AC38+AF38</f>
        <v>0</v>
      </c>
      <c r="AH38" s="261">
        <f>AF38/1000</f>
        <v>0</v>
      </c>
      <c r="AI38" s="262">
        <f>AE38+AH38</f>
        <v>0</v>
      </c>
      <c r="AJ38" s="262"/>
      <c r="AK38" s="262">
        <f>AG38+AJ38</f>
        <v>0</v>
      </c>
      <c r="AL38" s="261">
        <f>AJ38/1000</f>
        <v>0</v>
      </c>
      <c r="AM38" s="262">
        <f>AI38+AL38</f>
        <v>0</v>
      </c>
      <c r="AN38" s="261"/>
      <c r="AO38" s="262">
        <f t="shared" si="0"/>
        <v>0</v>
      </c>
      <c r="AP38" s="261">
        <f>AN38/1000</f>
        <v>0</v>
      </c>
      <c r="AQ38" s="262">
        <f>AM38+AP38</f>
        <v>0</v>
      </c>
      <c r="AR38" s="51"/>
    </row>
    <row r="39" spans="1:43" ht="15">
      <c r="A39" s="277" t="s">
        <v>619</v>
      </c>
      <c r="B39" s="262"/>
      <c r="C39" s="262"/>
      <c r="D39" s="262"/>
      <c r="E39" s="262"/>
      <c r="F39" s="262"/>
      <c r="G39" s="262"/>
      <c r="H39" s="262"/>
      <c r="I39" s="261"/>
      <c r="J39" s="261"/>
      <c r="K39" s="261"/>
      <c r="L39" s="261"/>
      <c r="M39" s="262">
        <f>J39+L39</f>
        <v>0</v>
      </c>
      <c r="N39" s="261">
        <f>L39/1000</f>
        <v>0</v>
      </c>
      <c r="O39" s="262">
        <f>K39+N39</f>
        <v>0</v>
      </c>
      <c r="P39" s="262">
        <v>-149540.29</v>
      </c>
      <c r="Q39" s="265">
        <f>M39+P39</f>
        <v>-149540.29</v>
      </c>
      <c r="R39" s="261">
        <f>P39/1000</f>
        <v>-149.54029</v>
      </c>
      <c r="S39" s="262">
        <f>O39+R39</f>
        <v>-149.54029</v>
      </c>
      <c r="T39" s="261"/>
      <c r="U39" s="262"/>
      <c r="V39" s="261">
        <f>T39/1000</f>
        <v>0</v>
      </c>
      <c r="W39" s="262">
        <f>S39+V39</f>
        <v>-149.54029</v>
      </c>
      <c r="X39" s="262"/>
      <c r="Y39" s="262">
        <f>U39+X39</f>
        <v>0</v>
      </c>
      <c r="Z39" s="261">
        <f>X39/1000</f>
        <v>0</v>
      </c>
      <c r="AA39" s="262"/>
      <c r="AB39" s="261">
        <v>1447631.99</v>
      </c>
      <c r="AC39" s="262">
        <f>Y39+AB39</f>
        <v>1447631.99</v>
      </c>
      <c r="AD39" s="261">
        <f>AB39/1000</f>
        <v>1447.63199</v>
      </c>
      <c r="AE39" s="262">
        <f>AA39+AD39</f>
        <v>1447.63199</v>
      </c>
      <c r="AF39" s="262"/>
      <c r="AG39" s="262">
        <f>AC39+AF39</f>
        <v>1447631.99</v>
      </c>
      <c r="AH39" s="261">
        <f>AF39/1000</f>
        <v>0</v>
      </c>
      <c r="AI39" s="262">
        <f>AE39+AH39</f>
        <v>1447.63199</v>
      </c>
      <c r="AJ39" s="262"/>
      <c r="AK39" s="262">
        <f>AG39+AJ39</f>
        <v>1447631.99</v>
      </c>
      <c r="AL39" s="261">
        <f>AJ39/1000</f>
        <v>0</v>
      </c>
      <c r="AM39" s="262">
        <f>AI39+AL39</f>
        <v>1447.63199</v>
      </c>
      <c r="AN39" s="261">
        <v>1717497.09</v>
      </c>
      <c r="AO39" s="262">
        <f t="shared" si="0"/>
        <v>3165129.08</v>
      </c>
      <c r="AP39" s="261">
        <f>AN39/1000</f>
        <v>1717.49709</v>
      </c>
      <c r="AQ39" s="262">
        <f>AM39+AP39</f>
        <v>3165.12908</v>
      </c>
    </row>
    <row r="40" spans="1:44" ht="16.5" thickBot="1">
      <c r="A40" s="285" t="s">
        <v>634</v>
      </c>
      <c r="B40" s="269">
        <f>SUM(B35:B38)</f>
        <v>1980323.4</v>
      </c>
      <c r="C40" s="269">
        <f>SUM(C35:C38)</f>
        <v>0</v>
      </c>
      <c r="D40" s="269">
        <f>SUM(D35:D38)</f>
        <v>0</v>
      </c>
      <c r="E40" s="269">
        <f>SUM(E35:E38)</f>
        <v>1980323.4</v>
      </c>
      <c r="F40" s="269">
        <f>SUM(F35:F38)</f>
        <v>2491.9898</v>
      </c>
      <c r="G40" s="269"/>
      <c r="H40" s="269">
        <f aca="true" t="shared" si="55" ref="H40:Z40">SUM(H35:H38)</f>
        <v>0</v>
      </c>
      <c r="I40" s="272">
        <f t="shared" si="55"/>
        <v>0</v>
      </c>
      <c r="J40" s="269">
        <f t="shared" si="55"/>
        <v>1980323.4</v>
      </c>
      <c r="K40" s="269">
        <f t="shared" si="55"/>
        <v>2491.9898</v>
      </c>
      <c r="L40" s="272">
        <f t="shared" si="55"/>
        <v>27350.38</v>
      </c>
      <c r="M40" s="269">
        <f t="shared" si="55"/>
        <v>2007673.7799999998</v>
      </c>
      <c r="N40" s="272">
        <f t="shared" si="55"/>
        <v>27.35038</v>
      </c>
      <c r="O40" s="269">
        <f t="shared" si="55"/>
        <v>2519.3401799999997</v>
      </c>
      <c r="P40" s="288">
        <f>SUM(P35:P39)</f>
        <v>-149440.29</v>
      </c>
      <c r="Q40" s="271">
        <f>SUM(Q35:Q39)</f>
        <v>1858233.4899999998</v>
      </c>
      <c r="R40" s="288">
        <f>SUM(R35:R39)</f>
        <v>-149.44029</v>
      </c>
      <c r="S40" s="269">
        <f>SUM(S35:S39)</f>
        <v>2369.89989</v>
      </c>
      <c r="T40" s="269">
        <f t="shared" si="55"/>
        <v>5737</v>
      </c>
      <c r="U40" s="269">
        <f>SUM(U35:U39)</f>
        <v>2013510.7799999998</v>
      </c>
      <c r="V40" s="272">
        <f t="shared" si="55"/>
        <v>5.737</v>
      </c>
      <c r="W40" s="269">
        <f>SUM(W35:W39)</f>
        <v>2375.6368899999998</v>
      </c>
      <c r="X40" s="269">
        <f t="shared" si="55"/>
        <v>12459.04</v>
      </c>
      <c r="Y40" s="269">
        <f>SUM(Y35:Y39)</f>
        <v>2025969.8199999998</v>
      </c>
      <c r="Z40" s="272">
        <f t="shared" si="55"/>
        <v>12.459040000000002</v>
      </c>
      <c r="AA40" s="269">
        <f aca="true" t="shared" si="56" ref="AA40:AM40">SUM(AA35:AA39)</f>
        <v>2537.63622</v>
      </c>
      <c r="AB40" s="272">
        <f t="shared" si="56"/>
        <v>1490601.99</v>
      </c>
      <c r="AC40" s="269">
        <f t="shared" si="56"/>
        <v>3516571.8099999996</v>
      </c>
      <c r="AD40" s="272">
        <f t="shared" si="56"/>
        <v>1490.6019900000001</v>
      </c>
      <c r="AE40" s="269">
        <f t="shared" si="56"/>
        <v>4028.2382099999995</v>
      </c>
      <c r="AF40" s="269">
        <f t="shared" si="56"/>
        <v>1000</v>
      </c>
      <c r="AG40" s="269">
        <f t="shared" si="56"/>
        <v>3517571.8099999996</v>
      </c>
      <c r="AH40" s="272">
        <f t="shared" si="56"/>
        <v>1</v>
      </c>
      <c r="AI40" s="269">
        <f t="shared" si="56"/>
        <v>4029.2382099999995</v>
      </c>
      <c r="AJ40" s="269">
        <f t="shared" si="56"/>
        <v>400</v>
      </c>
      <c r="AK40" s="269">
        <f t="shared" si="56"/>
        <v>3517971.8099999996</v>
      </c>
      <c r="AL40" s="272">
        <f t="shared" si="56"/>
        <v>0.4</v>
      </c>
      <c r="AM40" s="269">
        <f t="shared" si="56"/>
        <v>4029.63821</v>
      </c>
      <c r="AN40" s="269">
        <f>SUM(AN35:AN39)</f>
        <v>22741585.23</v>
      </c>
      <c r="AO40" s="269">
        <f t="shared" si="0"/>
        <v>26259557.04</v>
      </c>
      <c r="AP40" s="272">
        <f>SUM(AP35:AP39)</f>
        <v>24528.661582808305</v>
      </c>
      <c r="AQ40" s="269">
        <f>SUM(AQ35:AQ39)</f>
        <v>28558.299792808306</v>
      </c>
      <c r="AR40" s="51"/>
    </row>
    <row r="41" spans="1:44" ht="15">
      <c r="A41" s="260"/>
      <c r="B41" s="261"/>
      <c r="C41" s="261"/>
      <c r="D41" s="261"/>
      <c r="E41" s="261"/>
      <c r="F41" s="261"/>
      <c r="G41" s="262"/>
      <c r="H41" s="262"/>
      <c r="I41" s="261"/>
      <c r="J41" s="261"/>
      <c r="K41" s="261"/>
      <c r="L41" s="261"/>
      <c r="M41" s="261"/>
      <c r="N41" s="261"/>
      <c r="O41" s="261"/>
      <c r="P41" s="261"/>
      <c r="Q41" s="263"/>
      <c r="R41" s="261"/>
      <c r="S41" s="261"/>
      <c r="T41" s="261"/>
      <c r="U41" s="261"/>
      <c r="V41" s="261"/>
      <c r="W41" s="261"/>
      <c r="X41" s="262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2">
        <f t="shared" si="0"/>
        <v>0</v>
      </c>
      <c r="AP41" s="261"/>
      <c r="AQ41" s="261"/>
      <c r="AR41" s="51"/>
    </row>
    <row r="42" spans="1:43" ht="33" customHeight="1">
      <c r="A42" s="286" t="s">
        <v>640</v>
      </c>
      <c r="B42" s="269"/>
      <c r="C42" s="269"/>
      <c r="D42" s="269"/>
      <c r="E42" s="269"/>
      <c r="F42" s="269"/>
      <c r="G42" s="269"/>
      <c r="H42" s="262"/>
      <c r="I42" s="261"/>
      <c r="J42" s="261"/>
      <c r="K42" s="261"/>
      <c r="L42" s="261"/>
      <c r="M42" s="261"/>
      <c r="N42" s="261"/>
      <c r="O42" s="261"/>
      <c r="P42" s="261"/>
      <c r="Q42" s="263"/>
      <c r="R42" s="261"/>
      <c r="S42" s="261"/>
      <c r="T42" s="269"/>
      <c r="U42" s="261"/>
      <c r="V42" s="261"/>
      <c r="W42" s="261"/>
      <c r="X42" s="262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2">
        <f>AO40-AO39</f>
        <v>23094427.96</v>
      </c>
      <c r="AP42" s="261"/>
      <c r="AQ42" s="261"/>
    </row>
    <row r="43" spans="1:44" ht="39" customHeight="1">
      <c r="A43" s="286" t="s">
        <v>641</v>
      </c>
      <c r="B43" s="262">
        <f>B17+B32-B40</f>
        <v>225012290.38</v>
      </c>
      <c r="C43" s="262">
        <f>C17+C32-C40</f>
        <v>144468950.28999996</v>
      </c>
      <c r="D43" s="262">
        <f>D17+D32-D40</f>
        <v>108816564.16000006</v>
      </c>
      <c r="E43" s="262">
        <f>E17+E32-E40</f>
        <v>478297804.83000034</v>
      </c>
      <c r="F43" s="262">
        <f>F17+F32-F40</f>
        <v>680805.3084300003</v>
      </c>
      <c r="G43" s="262"/>
      <c r="H43" s="269">
        <f aca="true" t="shared" si="57" ref="H43:Y43">H17+H32-H40</f>
        <v>158957290.13000003</v>
      </c>
      <c r="I43" s="269">
        <f t="shared" si="57"/>
        <v>215070.13112999997</v>
      </c>
      <c r="J43" s="269">
        <f t="shared" si="57"/>
        <v>637255094.9600004</v>
      </c>
      <c r="K43" s="269">
        <f t="shared" si="57"/>
        <v>861021.9395600002</v>
      </c>
      <c r="L43" s="269">
        <f t="shared" si="57"/>
        <v>15820729.669999925</v>
      </c>
      <c r="M43" s="269">
        <f t="shared" si="57"/>
        <v>653075824.6300005</v>
      </c>
      <c r="N43" s="269">
        <f t="shared" si="57"/>
        <v>72209.52566999989</v>
      </c>
      <c r="O43" s="269">
        <f t="shared" si="57"/>
        <v>933231.4652300002</v>
      </c>
      <c r="P43" s="269">
        <f>P17+P32-P40</f>
        <v>39491565.96999995</v>
      </c>
      <c r="Q43" s="271">
        <f t="shared" si="57"/>
        <v>692567390.6000007</v>
      </c>
      <c r="R43" s="269">
        <f t="shared" si="57"/>
        <v>96502.85097</v>
      </c>
      <c r="S43" s="269">
        <f t="shared" si="57"/>
        <v>1029734.3162000002</v>
      </c>
      <c r="T43" s="269">
        <f t="shared" si="57"/>
        <v>112248537.21000007</v>
      </c>
      <c r="U43" s="269">
        <f t="shared" si="57"/>
        <v>804815927.8100009</v>
      </c>
      <c r="V43" s="272">
        <f t="shared" si="57"/>
        <v>168509.31121000004</v>
      </c>
      <c r="W43" s="269">
        <f t="shared" si="57"/>
        <v>1198243.6274100004</v>
      </c>
      <c r="X43" s="269">
        <f t="shared" si="57"/>
        <v>-13296882.780000005</v>
      </c>
      <c r="Y43" s="269">
        <f t="shared" si="57"/>
        <v>791519045.0300012</v>
      </c>
      <c r="Z43" s="272">
        <f>Z17+Z32-Z40</f>
        <v>42965.60622000002</v>
      </c>
      <c r="AA43" s="269">
        <f>AA17+AA32-AA40</f>
        <v>1241059.6933400007</v>
      </c>
      <c r="AB43" s="269">
        <f aca="true" t="shared" si="58" ref="AB43:AM43">AB17+AB32-AB40</f>
        <v>79014426.79000008</v>
      </c>
      <c r="AC43" s="269">
        <f t="shared" si="58"/>
        <v>870533471.8200011</v>
      </c>
      <c r="AD43" s="269">
        <f t="shared" si="58"/>
        <v>135423.83808000007</v>
      </c>
      <c r="AE43" s="269">
        <f t="shared" si="58"/>
        <v>1376483.5314200006</v>
      </c>
      <c r="AF43" s="269">
        <f t="shared" si="58"/>
        <v>311910291.71000004</v>
      </c>
      <c r="AG43" s="269">
        <f t="shared" si="58"/>
        <v>1182443763.5300012</v>
      </c>
      <c r="AH43" s="272">
        <f t="shared" si="58"/>
        <v>368169.57571</v>
      </c>
      <c r="AI43" s="269">
        <f t="shared" si="58"/>
        <v>1744653.1071300008</v>
      </c>
      <c r="AJ43" s="269">
        <f t="shared" si="58"/>
        <v>165742049.25</v>
      </c>
      <c r="AK43" s="269">
        <f t="shared" si="58"/>
        <v>1348185812.7800012</v>
      </c>
      <c r="AL43" s="272">
        <f t="shared" si="58"/>
        <v>221989.12425000002</v>
      </c>
      <c r="AM43" s="269">
        <f t="shared" si="58"/>
        <v>1966642.231380001</v>
      </c>
      <c r="AN43" s="262">
        <f>AN17+AN32-AN40</f>
        <v>-132220373.15999989</v>
      </c>
      <c r="AO43" s="269">
        <f t="shared" si="0"/>
        <v>1215965439.6200013</v>
      </c>
      <c r="AP43" s="269">
        <f>AP17+AP32-AP40</f>
        <v>-39010.34051280822</v>
      </c>
      <c r="AQ43" s="269">
        <f>AQ17+AQ32-AQ40</f>
        <v>1927631.8908671932</v>
      </c>
      <c r="AR43" s="51"/>
    </row>
    <row r="44" spans="1:44" ht="15.75">
      <c r="A44" s="289" t="s">
        <v>642</v>
      </c>
      <c r="B44" s="261"/>
      <c r="C44" s="261"/>
      <c r="D44" s="261"/>
      <c r="E44" s="261"/>
      <c r="F44" s="261"/>
      <c r="G44" s="262"/>
      <c r="H44" s="261"/>
      <c r="I44" s="261"/>
      <c r="J44" s="261"/>
      <c r="K44" s="261"/>
      <c r="L44" s="261"/>
      <c r="M44" s="261"/>
      <c r="N44" s="261"/>
      <c r="O44" s="262">
        <f>K44+N44</f>
        <v>0</v>
      </c>
      <c r="P44" s="262">
        <v>-23615104</v>
      </c>
      <c r="Q44" s="265">
        <f>M44+P44</f>
        <v>-23615104</v>
      </c>
      <c r="R44" s="261">
        <v>43818.45</v>
      </c>
      <c r="S44" s="262">
        <f>O44+R44</f>
        <v>43818.45</v>
      </c>
      <c r="T44" s="261"/>
      <c r="U44" s="262">
        <f>Q44+T44</f>
        <v>-23615104</v>
      </c>
      <c r="V44" s="261">
        <f>T44/1000</f>
        <v>0</v>
      </c>
      <c r="W44" s="262">
        <f>S44+V44</f>
        <v>43818.45</v>
      </c>
      <c r="X44" s="262">
        <v>0</v>
      </c>
      <c r="Y44" s="262">
        <f>U44+X44</f>
        <v>-23615104</v>
      </c>
      <c r="Z44" s="261">
        <v>0</v>
      </c>
      <c r="AA44" s="262">
        <f>W44+Z44</f>
        <v>43818.45</v>
      </c>
      <c r="AB44" s="261">
        <v>54162664</v>
      </c>
      <c r="AC44" s="262">
        <f>Y44+AB44</f>
        <v>30547560</v>
      </c>
      <c r="AD44" s="261">
        <v>87865.61</v>
      </c>
      <c r="AE44" s="262">
        <f>AA44+AD44</f>
        <v>131684.06</v>
      </c>
      <c r="AF44" s="261"/>
      <c r="AG44" s="262">
        <f>AC44+AF44</f>
        <v>30547560</v>
      </c>
      <c r="AH44" s="261">
        <f>AF44/1000</f>
        <v>0</v>
      </c>
      <c r="AI44" s="262">
        <f>AE44+AH44</f>
        <v>131684.06</v>
      </c>
      <c r="AJ44" s="261"/>
      <c r="AK44" s="262">
        <f>AG44+AJ44</f>
        <v>30547560</v>
      </c>
      <c r="AL44" s="261">
        <f>AJ44/1000</f>
        <v>0</v>
      </c>
      <c r="AM44" s="262">
        <f>AI44+AL44</f>
        <v>131684.06</v>
      </c>
      <c r="AN44" s="262">
        <f>-58935960</f>
        <v>-58935960</v>
      </c>
      <c r="AO44" s="262">
        <f t="shared" si="0"/>
        <v>-28388400</v>
      </c>
      <c r="AP44" s="261">
        <v>-19930.42</v>
      </c>
      <c r="AQ44" s="266">
        <f>AM44+AP44</f>
        <v>111753.64</v>
      </c>
      <c r="AR44" s="51">
        <f>1080619000+111753640</f>
        <v>1192372640</v>
      </c>
    </row>
    <row r="45" spans="1:44" ht="15.75">
      <c r="A45" s="291" t="s">
        <v>644</v>
      </c>
      <c r="B45" s="262">
        <v>27623631</v>
      </c>
      <c r="C45" s="262">
        <v>27623631</v>
      </c>
      <c r="D45" s="262">
        <v>27623631</v>
      </c>
      <c r="E45" s="262">
        <f>B45+C45+D45</f>
        <v>82870893</v>
      </c>
      <c r="F45" s="262">
        <f>E45/1000</f>
        <v>82870.893</v>
      </c>
      <c r="G45" s="262"/>
      <c r="H45" s="262">
        <v>17554901</v>
      </c>
      <c r="I45" s="261">
        <f>H45/1000</f>
        <v>17554.901</v>
      </c>
      <c r="J45" s="262">
        <f>E45+H45</f>
        <v>100425794</v>
      </c>
      <c r="K45" s="262">
        <f>F45+I45</f>
        <v>100425.794</v>
      </c>
      <c r="L45" s="262">
        <v>24894949</v>
      </c>
      <c r="M45" s="262">
        <f>J45+L45</f>
        <v>125320743</v>
      </c>
      <c r="N45" s="261">
        <f>L45/1000</f>
        <v>24894.949</v>
      </c>
      <c r="O45" s="262">
        <f>K45+N45</f>
        <v>125320.74299999999</v>
      </c>
      <c r="P45" s="262">
        <f>24894949+5596281</f>
        <v>30491230</v>
      </c>
      <c r="Q45" s="265">
        <f>M45+P45</f>
        <v>155811973</v>
      </c>
      <c r="R45" s="262">
        <f>P45/1000</f>
        <v>30491.23</v>
      </c>
      <c r="S45" s="262">
        <f>O45+R45</f>
        <v>155811.973</v>
      </c>
      <c r="T45" s="262">
        <v>24894949</v>
      </c>
      <c r="U45" s="262">
        <f>Q45+T45</f>
        <v>180706922</v>
      </c>
      <c r="V45" s="261">
        <f>T45/1000</f>
        <v>24894.949</v>
      </c>
      <c r="W45" s="262">
        <f>S45+V45</f>
        <v>180706.922</v>
      </c>
      <c r="X45" s="262">
        <v>24894949</v>
      </c>
      <c r="Y45" s="262">
        <f>U45+X45</f>
        <v>205601871</v>
      </c>
      <c r="Z45" s="261">
        <f>X45/1000</f>
        <v>24894.949</v>
      </c>
      <c r="AA45" s="262">
        <f>W45+Z45</f>
        <v>205601.87099999998</v>
      </c>
      <c r="AB45" s="261">
        <v>-65333928</v>
      </c>
      <c r="AC45" s="262">
        <f>Y45+AB45</f>
        <v>140267943</v>
      </c>
      <c r="AD45" s="261">
        <f>AB45/1000</f>
        <v>-65333.928</v>
      </c>
      <c r="AE45" s="262">
        <f>AA45+AD45</f>
        <v>140267.94299999997</v>
      </c>
      <c r="AF45" s="262">
        <v>24894949</v>
      </c>
      <c r="AG45" s="262">
        <f>AC45+AF45</f>
        <v>165162892</v>
      </c>
      <c r="AH45" s="261">
        <f>AF45/1000</f>
        <v>24894.949</v>
      </c>
      <c r="AI45" s="262">
        <f>AE45+AH45</f>
        <v>165162.89199999996</v>
      </c>
      <c r="AJ45" s="262">
        <v>24894949</v>
      </c>
      <c r="AK45" s="262">
        <f>AG45+AJ45</f>
        <v>190057841</v>
      </c>
      <c r="AL45" s="261">
        <f>AJ45/1000</f>
        <v>24894.949</v>
      </c>
      <c r="AM45" s="262">
        <f>AI45+AL45</f>
        <v>190057.84099999996</v>
      </c>
      <c r="AN45" s="262">
        <v>99740314</v>
      </c>
      <c r="AO45" s="262">
        <f>AK45+AN45</f>
        <v>289798155</v>
      </c>
      <c r="AP45" s="261">
        <f>AN45/1000</f>
        <v>99740.314</v>
      </c>
      <c r="AQ45" s="266">
        <f>AM45+AP45</f>
        <v>289798.15499999997</v>
      </c>
      <c r="AR45" s="51"/>
    </row>
    <row r="46" spans="2:43" ht="13.5" thickBot="1">
      <c r="B46" s="261"/>
      <c r="C46" s="261"/>
      <c r="D46" s="261"/>
      <c r="E46" s="261"/>
      <c r="F46" s="262"/>
      <c r="G46" s="262"/>
      <c r="H46" s="262"/>
      <c r="I46" s="261"/>
      <c r="J46" s="261"/>
      <c r="K46" s="261"/>
      <c r="L46" s="261"/>
      <c r="M46" s="261"/>
      <c r="N46" s="261"/>
      <c r="O46" s="261"/>
      <c r="P46" s="262"/>
      <c r="Q46" s="263"/>
      <c r="R46" s="262"/>
      <c r="S46" s="261"/>
      <c r="T46" s="261"/>
      <c r="U46" s="261"/>
      <c r="V46" s="261"/>
      <c r="W46" s="262">
        <f>S46+V46</f>
        <v>0</v>
      </c>
      <c r="X46" s="262"/>
      <c r="Y46" s="262">
        <f>U46+X46</f>
        <v>0</v>
      </c>
      <c r="Z46" s="261"/>
      <c r="AA46" s="262">
        <f>W46+Z46</f>
        <v>0</v>
      </c>
      <c r="AB46" s="261"/>
      <c r="AC46" s="262">
        <f>Y46+AB46</f>
        <v>0</v>
      </c>
      <c r="AD46" s="261">
        <f>AC46/1000</f>
        <v>0</v>
      </c>
      <c r="AE46" s="262">
        <f>AA46+AD46</f>
        <v>0</v>
      </c>
      <c r="AF46" s="261"/>
      <c r="AG46" s="262">
        <f>AC46+AF46</f>
        <v>0</v>
      </c>
      <c r="AH46" s="261">
        <f>AF46/1000</f>
        <v>0</v>
      </c>
      <c r="AI46" s="262">
        <f>AE46+AH46</f>
        <v>0</v>
      </c>
      <c r="AJ46" s="261"/>
      <c r="AK46" s="262">
        <f>AG46+AJ46</f>
        <v>0</v>
      </c>
      <c r="AL46" s="261">
        <f>AJ46/1000</f>
        <v>0</v>
      </c>
      <c r="AM46" s="262">
        <f>AI46+AL46</f>
        <v>0</v>
      </c>
      <c r="AN46" s="261"/>
      <c r="AO46" s="262">
        <f t="shared" si="0"/>
        <v>0</v>
      </c>
      <c r="AP46" s="261"/>
      <c r="AQ46" s="261"/>
    </row>
    <row r="47" spans="1:43" ht="16.5" thickBot="1">
      <c r="A47" s="292" t="s">
        <v>645</v>
      </c>
      <c r="B47" s="261"/>
      <c r="C47" s="261"/>
      <c r="D47" s="261"/>
      <c r="E47" s="261"/>
      <c r="F47" s="262"/>
      <c r="G47" s="262"/>
      <c r="H47" s="262"/>
      <c r="I47" s="261"/>
      <c r="J47" s="261"/>
      <c r="K47" s="261"/>
      <c r="L47" s="261"/>
      <c r="M47" s="261"/>
      <c r="N47" s="261"/>
      <c r="O47" s="261"/>
      <c r="P47" s="261"/>
      <c r="Q47" s="263"/>
      <c r="R47" s="262"/>
      <c r="S47" s="261"/>
      <c r="T47" s="261"/>
      <c r="U47" s="261"/>
      <c r="V47" s="261"/>
      <c r="W47" s="261"/>
      <c r="X47" s="262"/>
      <c r="Y47" s="262">
        <f>U47+X47</f>
        <v>0</v>
      </c>
      <c r="Z47" s="261"/>
      <c r="AA47" s="262">
        <f>W47+Z47</f>
        <v>0</v>
      </c>
      <c r="AB47" s="261"/>
      <c r="AC47" s="262">
        <f>Y47+AB47</f>
        <v>0</v>
      </c>
      <c r="AD47" s="261">
        <f>AC47/1000</f>
        <v>0</v>
      </c>
      <c r="AE47" s="262">
        <f>AA47+AD47</f>
        <v>0</v>
      </c>
      <c r="AF47" s="261"/>
      <c r="AG47" s="262">
        <f>AC47+AF47</f>
        <v>0</v>
      </c>
      <c r="AH47" s="261">
        <f>AF47/1000</f>
        <v>0</v>
      </c>
      <c r="AI47" s="262">
        <f>AE47+AH47</f>
        <v>0</v>
      </c>
      <c r="AJ47" s="261"/>
      <c r="AK47" s="262">
        <f>AG47+AJ47</f>
        <v>0</v>
      </c>
      <c r="AL47" s="261">
        <f>AJ47/1000</f>
        <v>0</v>
      </c>
      <c r="AM47" s="262">
        <f>AI47+AL47</f>
        <v>0</v>
      </c>
      <c r="AN47" s="261"/>
      <c r="AO47" s="262">
        <f t="shared" si="0"/>
        <v>0</v>
      </c>
      <c r="AP47" s="261"/>
      <c r="AQ47" s="261"/>
    </row>
    <row r="48" spans="1:44" ht="15.75">
      <c r="A48" s="293" t="s">
        <v>646</v>
      </c>
      <c r="B48" s="337">
        <f>B43-B45</f>
        <v>197388659.38</v>
      </c>
      <c r="C48" s="269">
        <f>C43-C45</f>
        <v>116845319.28999996</v>
      </c>
      <c r="D48" s="337">
        <f>D43-D45-D46-D47</f>
        <v>81192933.16000006</v>
      </c>
      <c r="E48" s="337">
        <f>E43-E45</f>
        <v>395426911.83000034</v>
      </c>
      <c r="F48" s="269">
        <f>F43-F45</f>
        <v>597934.4154300003</v>
      </c>
      <c r="G48" s="269"/>
      <c r="H48" s="337">
        <f>H43-H45</f>
        <v>141402389.13000003</v>
      </c>
      <c r="I48" s="269">
        <f>I43-I53</f>
        <v>215070.13112999997</v>
      </c>
      <c r="J48" s="269">
        <f>J43-J45</f>
        <v>536829300.9600004</v>
      </c>
      <c r="K48" s="269">
        <f>K43-K45</f>
        <v>760596.1455600002</v>
      </c>
      <c r="L48" s="337">
        <f>L43-L45</f>
        <v>-9074219.330000075</v>
      </c>
      <c r="M48" s="269">
        <f>M43-M45</f>
        <v>527755081.6300005</v>
      </c>
      <c r="N48" s="269">
        <f>N43-N45</f>
        <v>47314.576669999886</v>
      </c>
      <c r="O48" s="269">
        <f aca="true" t="shared" si="59" ref="O48:U48">O43-O44-O45</f>
        <v>807910.7222300002</v>
      </c>
      <c r="P48" s="269">
        <f t="shared" si="59"/>
        <v>32615439.969999947</v>
      </c>
      <c r="Q48" s="271">
        <f t="shared" si="59"/>
        <v>560370521.6000007</v>
      </c>
      <c r="R48" s="269">
        <f t="shared" si="59"/>
        <v>22193.170970000003</v>
      </c>
      <c r="S48" s="269">
        <f t="shared" si="59"/>
        <v>830103.8932000003</v>
      </c>
      <c r="T48" s="269">
        <f t="shared" si="59"/>
        <v>87353588.21000007</v>
      </c>
      <c r="U48" s="269">
        <f t="shared" si="59"/>
        <v>647724109.8100009</v>
      </c>
      <c r="V48" s="272">
        <f>V43-V45</f>
        <v>143614.36221000005</v>
      </c>
      <c r="W48" s="269">
        <f>W43-W44-W45</f>
        <v>973718.2554100004</v>
      </c>
      <c r="X48" s="269">
        <f>X43-X44-X45</f>
        <v>-38191831.78</v>
      </c>
      <c r="Y48" s="269">
        <f>Y43-Y44-Y45</f>
        <v>609532278.0300012</v>
      </c>
      <c r="Z48" s="272">
        <f>Z43-Z44-Z45-Z46-Z47</f>
        <v>18070.657220000023</v>
      </c>
      <c r="AA48" s="269">
        <f>AA43-AA44-AA45-AA46-AA47</f>
        <v>991639.3723400007</v>
      </c>
      <c r="AB48" s="269">
        <f>AB43-AB44-AB45</f>
        <v>90185690.79000008</v>
      </c>
      <c r="AC48" s="269">
        <f>AC43-AC44-AC45</f>
        <v>699717968.8200011</v>
      </c>
      <c r="AD48" s="269">
        <f>AD43-AD44-AD45</f>
        <v>112892.15608000007</v>
      </c>
      <c r="AE48" s="269">
        <f>AE43-AE44-AE45-AE46-AE47</f>
        <v>1104531.5284200006</v>
      </c>
      <c r="AF48" s="269">
        <f>AF43-AF44-AF45</f>
        <v>287015342.71000004</v>
      </c>
      <c r="AG48" s="269">
        <f>AG43-AG44-AG45-AG46-AG47</f>
        <v>986733311.5300012</v>
      </c>
      <c r="AH48" s="272">
        <f>AH43-AH44-AH45-AH46-AH47</f>
        <v>343274.62671</v>
      </c>
      <c r="AI48" s="269">
        <f>AI43-AI44-AI45-AI46-AI47</f>
        <v>1447806.1551300008</v>
      </c>
      <c r="AJ48" s="269">
        <f>AJ43-AJ44-AJ45</f>
        <v>140847100.25</v>
      </c>
      <c r="AK48" s="269">
        <f>AK43-AK44-AK45-AK46-AK47</f>
        <v>1127580411.7800012</v>
      </c>
      <c r="AL48" s="272">
        <f>AL43-AL44-AL45-AL46-AL47</f>
        <v>197094.17525000003</v>
      </c>
      <c r="AM48" s="269">
        <f>AM43-AM44-AM45-AM46-AM47</f>
        <v>1644900.3303800009</v>
      </c>
      <c r="AN48" s="262">
        <f>AN43-AN44-AN45</f>
        <v>-173024727.1599999</v>
      </c>
      <c r="AO48" s="269">
        <f>AO43-AO44-AO45-AO46-AO47</f>
        <v>954555684.6200013</v>
      </c>
      <c r="AP48" s="269">
        <f>AP43-AP44-AP45</f>
        <v>-118820.23451280822</v>
      </c>
      <c r="AQ48" s="269">
        <f>AQ43-AQ44-AQ45</f>
        <v>1526080.0958671933</v>
      </c>
      <c r="AR48" s="51"/>
    </row>
    <row r="49" spans="1:44" ht="15.75">
      <c r="A49" s="338" t="s">
        <v>647</v>
      </c>
      <c r="B49" s="261"/>
      <c r="C49" s="261"/>
      <c r="D49" s="261"/>
      <c r="E49" s="261"/>
      <c r="F49" s="262"/>
      <c r="G49" s="261"/>
      <c r="H49" s="261"/>
      <c r="I49" s="261"/>
      <c r="J49" s="261"/>
      <c r="K49" s="261"/>
      <c r="L49" s="261"/>
      <c r="M49" s="261"/>
      <c r="N49" s="261"/>
      <c r="O49" s="262">
        <f>K48+N48</f>
        <v>807910.7222300001</v>
      </c>
      <c r="P49" s="266"/>
      <c r="Q49" s="295">
        <v>560370521.6</v>
      </c>
      <c r="R49" s="261"/>
      <c r="S49" s="262">
        <f>O48+R48</f>
        <v>830103.8932000002</v>
      </c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51"/>
    </row>
    <row r="50" spans="1:43" ht="12.75">
      <c r="A50" s="261"/>
      <c r="H50" s="297">
        <v>141402389.13</v>
      </c>
      <c r="J50" s="262">
        <v>536829300.96</v>
      </c>
      <c r="K50" s="262">
        <f>F48+I48</f>
        <v>813004.5465600003</v>
      </c>
      <c r="L50" s="261"/>
      <c r="M50" s="262">
        <f>J48+L48</f>
        <v>527755081.6300003</v>
      </c>
      <c r="N50" s="262">
        <f>L48+1604169+103447682+21728-47792786-891997</f>
        <v>47314576.66999993</v>
      </c>
      <c r="O50" s="262"/>
      <c r="P50" s="262"/>
      <c r="Q50" s="298"/>
      <c r="R50" s="261"/>
      <c r="S50" s="262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2">
        <f>AK48+AN48</f>
        <v>954555684.6200013</v>
      </c>
      <c r="AP50" s="261"/>
      <c r="AQ50" s="262"/>
    </row>
    <row r="51" spans="8:40" ht="12.75">
      <c r="H51" s="51">
        <f>H50-H48</f>
        <v>0</v>
      </c>
      <c r="J51" s="51">
        <f>J48-J50</f>
        <v>0</v>
      </c>
      <c r="M51" s="51">
        <f>M48-M50</f>
        <v>0</v>
      </c>
      <c r="O51" s="51"/>
      <c r="P51" s="51">
        <v>34542824</v>
      </c>
      <c r="Q51" s="51"/>
      <c r="S51" s="51"/>
      <c r="AN51" s="51"/>
    </row>
    <row r="52" spans="2:43" ht="12.75">
      <c r="B52" s="51"/>
      <c r="C52" s="51"/>
      <c r="D52" s="51"/>
      <c r="H52" s="51"/>
      <c r="P52" s="51"/>
      <c r="Q52" s="51"/>
      <c r="S52" s="51"/>
      <c r="U52" s="51">
        <f>U44+U45</f>
        <v>157091818</v>
      </c>
      <c r="AN52" s="51"/>
      <c r="AQ52" s="51"/>
    </row>
    <row r="53" spans="8:43" ht="12.75">
      <c r="H53" s="51"/>
      <c r="P53" s="51">
        <f>P48-P51</f>
        <v>-1927384.0300000533</v>
      </c>
      <c r="Q53" s="51">
        <f>Q48-Q49</f>
        <v>0</v>
      </c>
      <c r="R53" s="51"/>
      <c r="S53" s="51"/>
      <c r="AQ53" s="51"/>
    </row>
    <row r="54" spans="17:43" ht="12.75">
      <c r="Q54" s="51"/>
      <c r="S54" s="51"/>
      <c r="AQ54" s="51"/>
    </row>
    <row r="55" spans="17:19" ht="12.75">
      <c r="Q55" s="51"/>
      <c r="S55" s="51"/>
    </row>
    <row r="56" spans="19:44" ht="12.75">
      <c r="S56" s="51"/>
      <c r="AR56" s="51"/>
    </row>
    <row r="57" ht="12.75">
      <c r="P57" s="51"/>
    </row>
    <row r="58" ht="12.75">
      <c r="AR58" s="244"/>
    </row>
    <row r="59" ht="12.75">
      <c r="Q59" s="51"/>
    </row>
    <row r="64" spans="33:37" ht="12.75">
      <c r="AG64" s="51"/>
      <c r="AK64" s="51"/>
    </row>
    <row r="65" ht="15">
      <c r="Y65" s="305"/>
    </row>
    <row r="66" spans="25:37" ht="12.75">
      <c r="Y66" s="51"/>
      <c r="AG66" s="51"/>
      <c r="AK66" s="51"/>
    </row>
    <row r="67" spans="25:37" ht="12.75">
      <c r="Y67" s="51"/>
      <c r="AG67" s="51"/>
      <c r="AK67" s="51"/>
    </row>
    <row r="68" spans="33:37" ht="12.75">
      <c r="AG68" s="51"/>
      <c r="AK68" s="51"/>
    </row>
    <row r="69" spans="33:37" ht="12.75">
      <c r="AG69" s="51"/>
      <c r="AK69" s="51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B2:J80"/>
  <sheetViews>
    <sheetView workbookViewId="0" topLeftCell="A41">
      <selection activeCell="G63" sqref="G63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</cols>
  <sheetData>
    <row r="2" ht="12.75">
      <c r="D2" s="1" t="s">
        <v>0</v>
      </c>
    </row>
    <row r="3" spans="3:4" ht="12.75">
      <c r="C3" s="1" t="s">
        <v>1</v>
      </c>
      <c r="D3" s="1"/>
    </row>
    <row r="4" spans="3:5" ht="12.75">
      <c r="C4" s="1" t="s">
        <v>2</v>
      </c>
      <c r="D4" s="1"/>
      <c r="E4" s="1"/>
    </row>
    <row r="5" spans="2:6" ht="15.75">
      <c r="B5" s="2" t="s">
        <v>3</v>
      </c>
      <c r="C5" s="3"/>
      <c r="D5" s="3"/>
      <c r="E5" s="3"/>
      <c r="F5" s="3"/>
    </row>
    <row r="6" spans="2:6" ht="15.75">
      <c r="B6" s="2"/>
      <c r="C6" s="3"/>
      <c r="D6" s="3"/>
      <c r="E6" s="3"/>
      <c r="F6" s="3"/>
    </row>
    <row r="7" spans="2:6" ht="15.75">
      <c r="B7" s="364" t="s">
        <v>694</v>
      </c>
      <c r="C7" s="364"/>
      <c r="D7" s="3"/>
      <c r="E7" s="3"/>
      <c r="F7" s="3"/>
    </row>
    <row r="8" spans="2:6" ht="15.75">
      <c r="B8" s="4"/>
      <c r="C8" s="3"/>
      <c r="D8" s="3"/>
      <c r="E8" s="3"/>
      <c r="F8" s="3"/>
    </row>
    <row r="9" spans="2:6" ht="7.5" customHeight="1">
      <c r="B9" s="3"/>
      <c r="C9" s="3"/>
      <c r="D9" s="3"/>
      <c r="E9" s="3"/>
      <c r="F9" s="3"/>
    </row>
    <row r="10" spans="2:6" ht="15" customHeight="1">
      <c r="B10" s="3"/>
      <c r="C10" s="3"/>
      <c r="D10" s="3"/>
      <c r="E10" s="62" t="s">
        <v>4</v>
      </c>
      <c r="F10" s="3"/>
    </row>
    <row r="11" spans="2:6" ht="1.5" customHeight="1" hidden="1">
      <c r="B11" s="3"/>
      <c r="C11" s="3"/>
      <c r="D11" s="3"/>
      <c r="E11" s="3"/>
      <c r="F11" s="3"/>
    </row>
    <row r="12" spans="2:6" ht="15.75" thickBot="1">
      <c r="B12" s="3"/>
      <c r="C12" s="3"/>
      <c r="D12" s="3"/>
      <c r="E12" s="3"/>
      <c r="F12" s="3"/>
    </row>
    <row r="13" spans="2:6" ht="48" thickBot="1">
      <c r="B13" s="5" t="s">
        <v>5</v>
      </c>
      <c r="C13" s="6" t="s">
        <v>6</v>
      </c>
      <c r="D13" s="6" t="s">
        <v>7</v>
      </c>
      <c r="E13" s="6" t="s">
        <v>8</v>
      </c>
      <c r="F13" s="3"/>
    </row>
    <row r="14" spans="2:6" ht="16.5" thickBot="1">
      <c r="B14" s="7" t="s">
        <v>9</v>
      </c>
      <c r="C14" s="8"/>
      <c r="D14" s="8"/>
      <c r="E14" s="8"/>
      <c r="F14" s="3"/>
    </row>
    <row r="15" spans="2:6" ht="16.5" thickBot="1">
      <c r="B15" s="7" t="s">
        <v>10</v>
      </c>
      <c r="C15" s="8">
        <v>10</v>
      </c>
      <c r="D15" s="75">
        <v>685637</v>
      </c>
      <c r="E15" s="76">
        <v>1720310</v>
      </c>
      <c r="F15" s="3"/>
    </row>
    <row r="16" spans="2:6" ht="32.25" thickBot="1">
      <c r="B16" s="7" t="s">
        <v>11</v>
      </c>
      <c r="C16" s="8">
        <v>11</v>
      </c>
      <c r="D16" s="10"/>
      <c r="E16" s="9"/>
      <c r="F16" s="3"/>
    </row>
    <row r="17" spans="2:6" ht="16.5" thickBot="1">
      <c r="B17" s="7" t="s">
        <v>12</v>
      </c>
      <c r="C17" s="8">
        <v>12</v>
      </c>
      <c r="D17" s="10"/>
      <c r="E17" s="9"/>
      <c r="F17" s="3"/>
    </row>
    <row r="18" spans="2:6" ht="48" thickBot="1">
      <c r="B18" s="7" t="s">
        <v>13</v>
      </c>
      <c r="C18" s="8">
        <v>13</v>
      </c>
      <c r="D18" s="10"/>
      <c r="E18" s="9"/>
      <c r="F18" s="3"/>
    </row>
    <row r="19" spans="2:6" ht="32.25" thickBot="1">
      <c r="B19" s="7" t="s">
        <v>14</v>
      </c>
      <c r="C19" s="8">
        <v>14</v>
      </c>
      <c r="D19" s="10"/>
      <c r="E19" s="9"/>
      <c r="F19" s="3"/>
    </row>
    <row r="20" spans="2:6" ht="32.25" thickBot="1">
      <c r="B20" s="7" t="s">
        <v>15</v>
      </c>
      <c r="C20" s="8">
        <v>15</v>
      </c>
      <c r="D20" s="16">
        <v>400800</v>
      </c>
      <c r="E20" s="9"/>
      <c r="F20" s="3"/>
    </row>
    <row r="21" spans="2:9" ht="32.25" thickBot="1">
      <c r="B21" s="7" t="s">
        <v>16</v>
      </c>
      <c r="C21" s="8">
        <v>16</v>
      </c>
      <c r="D21" s="16">
        <v>887397</v>
      </c>
      <c r="E21" s="16">
        <v>781327</v>
      </c>
      <c r="F21" s="3"/>
      <c r="G21" s="51"/>
      <c r="I21" s="51"/>
    </row>
    <row r="22" spans="2:7" ht="16.5" thickBot="1">
      <c r="B22" s="7" t="s">
        <v>17</v>
      </c>
      <c r="C22" s="8">
        <v>17</v>
      </c>
      <c r="D22" s="16">
        <v>48286</v>
      </c>
      <c r="E22" s="14">
        <v>46123</v>
      </c>
      <c r="F22" s="3"/>
      <c r="G22" s="51"/>
    </row>
    <row r="23" spans="2:7" ht="16.5" thickBot="1">
      <c r="B23" s="7" t="s">
        <v>18</v>
      </c>
      <c r="C23" s="8">
        <v>18</v>
      </c>
      <c r="D23" s="16">
        <v>225472</v>
      </c>
      <c r="E23" s="14">
        <v>209303</v>
      </c>
      <c r="F23" s="3"/>
      <c r="G23" s="51"/>
    </row>
    <row r="24" spans="2:7" ht="16.5" thickBot="1">
      <c r="B24" s="7" t="s">
        <v>19</v>
      </c>
      <c r="C24" s="8">
        <v>19</v>
      </c>
      <c r="D24" s="10"/>
      <c r="E24" s="9"/>
      <c r="F24" s="3"/>
      <c r="G24" s="51"/>
    </row>
    <row r="25" spans="2:6" ht="32.25" thickBot="1">
      <c r="B25" s="7" t="s">
        <v>20</v>
      </c>
      <c r="C25" s="8">
        <v>100</v>
      </c>
      <c r="D25" s="72">
        <f>SUM(D15:D24)</f>
        <v>2247592</v>
      </c>
      <c r="E25" s="15">
        <f>SUM(E15:E24)</f>
        <v>2757063</v>
      </c>
      <c r="F25" s="3"/>
    </row>
    <row r="26" spans="2:7" ht="32.25" thickBot="1">
      <c r="B26" s="7" t="s">
        <v>21</v>
      </c>
      <c r="C26" s="8">
        <v>101</v>
      </c>
      <c r="D26" s="10"/>
      <c r="E26" s="9"/>
      <c r="F26" s="3"/>
      <c r="G26" s="51"/>
    </row>
    <row r="27" spans="2:7" ht="16.5" thickBot="1">
      <c r="B27" s="7" t="s">
        <v>22</v>
      </c>
      <c r="C27" s="8"/>
      <c r="D27" s="10"/>
      <c r="E27" s="9"/>
      <c r="F27" s="3"/>
      <c r="G27" s="51"/>
    </row>
    <row r="28" spans="2:7" ht="32.25" thickBot="1">
      <c r="B28" s="7" t="s">
        <v>11</v>
      </c>
      <c r="C28" s="8">
        <v>110</v>
      </c>
      <c r="D28" s="10"/>
      <c r="E28" s="9"/>
      <c r="F28" s="3"/>
      <c r="G28" s="51"/>
    </row>
    <row r="29" spans="2:7" ht="16.5" thickBot="1">
      <c r="B29" s="7" t="s">
        <v>12</v>
      </c>
      <c r="C29" s="8">
        <v>111</v>
      </c>
      <c r="D29" s="10"/>
      <c r="E29" s="9"/>
      <c r="F29" s="3"/>
      <c r="G29" s="51"/>
    </row>
    <row r="30" spans="2:7" ht="48" thickBot="1">
      <c r="B30" s="7" t="s">
        <v>13</v>
      </c>
      <c r="C30" s="8">
        <v>112</v>
      </c>
      <c r="D30" s="10"/>
      <c r="E30" s="9"/>
      <c r="F30" s="3"/>
      <c r="G30" s="51"/>
    </row>
    <row r="31" spans="2:7" ht="32.25" thickBot="1">
      <c r="B31" s="7" t="s">
        <v>14</v>
      </c>
      <c r="C31" s="8">
        <v>113</v>
      </c>
      <c r="D31" s="10"/>
      <c r="E31" s="9"/>
      <c r="F31" s="3"/>
      <c r="G31" s="51"/>
    </row>
    <row r="32" spans="2:7" ht="16.5" thickBot="1">
      <c r="B32" s="7" t="s">
        <v>23</v>
      </c>
      <c r="C32" s="8">
        <v>114</v>
      </c>
      <c r="D32" s="16"/>
      <c r="E32" s="9"/>
      <c r="F32" s="3"/>
      <c r="G32" s="244"/>
    </row>
    <row r="33" spans="2:7" ht="32.25" thickBot="1">
      <c r="B33" s="7" t="s">
        <v>24</v>
      </c>
      <c r="C33" s="8">
        <v>115</v>
      </c>
      <c r="D33" s="10"/>
      <c r="E33" s="9"/>
      <c r="F33" s="3"/>
      <c r="G33" s="51"/>
    </row>
    <row r="34" spans="2:7" ht="32.25" thickBot="1">
      <c r="B34" s="7" t="s">
        <v>25</v>
      </c>
      <c r="C34" s="8">
        <v>116</v>
      </c>
      <c r="D34" s="10"/>
      <c r="E34" s="9"/>
      <c r="F34" s="3"/>
      <c r="G34" s="51"/>
    </row>
    <row r="35" spans="2:6" ht="16.5" thickBot="1">
      <c r="B35" s="7" t="s">
        <v>26</v>
      </c>
      <c r="C35" s="8">
        <v>117</v>
      </c>
      <c r="D35" s="10"/>
      <c r="E35" s="10"/>
      <c r="F35" s="3"/>
    </row>
    <row r="36" spans="2:8" ht="16.5" thickBot="1">
      <c r="B36" s="7" t="s">
        <v>27</v>
      </c>
      <c r="C36" s="8">
        <v>118</v>
      </c>
      <c r="D36" s="74">
        <f>(осв2014!F64+осв2014!F87)/1000</f>
        <v>24789621.409080002</v>
      </c>
      <c r="E36" s="74">
        <v>22505247</v>
      </c>
      <c r="F36" s="3"/>
      <c r="H36" s="11"/>
    </row>
    <row r="37" spans="2:6" ht="16.5" thickBot="1">
      <c r="B37" s="7" t="s">
        <v>28</v>
      </c>
      <c r="C37" s="8">
        <v>119</v>
      </c>
      <c r="D37" s="10"/>
      <c r="E37" s="10"/>
      <c r="F37" s="3"/>
    </row>
    <row r="38" spans="2:6" ht="16.5" thickBot="1">
      <c r="B38" s="7" t="s">
        <v>29</v>
      </c>
      <c r="C38" s="8">
        <v>120</v>
      </c>
      <c r="D38" s="10"/>
      <c r="E38" s="10"/>
      <c r="F38" s="3"/>
    </row>
    <row r="39" spans="2:6" ht="16.5" thickBot="1">
      <c r="B39" s="7" t="s">
        <v>30</v>
      </c>
      <c r="C39" s="8">
        <v>121</v>
      </c>
      <c r="D39" s="16">
        <v>141019</v>
      </c>
      <c r="E39" s="16">
        <v>109033</v>
      </c>
      <c r="F39" s="3"/>
    </row>
    <row r="40" spans="2:6" ht="16.5" thickBot="1">
      <c r="B40" s="7" t="s">
        <v>31</v>
      </c>
      <c r="C40" s="8">
        <v>122</v>
      </c>
      <c r="D40" s="10"/>
      <c r="E40" s="9"/>
      <c r="F40" s="3"/>
    </row>
    <row r="41" spans="2:6" ht="16.5" thickBot="1">
      <c r="B41" s="7" t="s">
        <v>32</v>
      </c>
      <c r="C41" s="8">
        <v>123</v>
      </c>
      <c r="D41" s="10">
        <v>15960</v>
      </c>
      <c r="E41" s="9"/>
      <c r="F41" s="3"/>
    </row>
    <row r="42" spans="2:8" ht="32.25" thickBot="1">
      <c r="B42" s="7" t="s">
        <v>33</v>
      </c>
      <c r="C42" s="8">
        <v>200</v>
      </c>
      <c r="D42" s="52">
        <f>SUM(D28:D41)</f>
        <v>24946600.409080002</v>
      </c>
      <c r="E42" s="15">
        <f>SUM(E33:E41)</f>
        <v>22614280</v>
      </c>
      <c r="F42" s="3"/>
      <c r="G42" s="13"/>
      <c r="H42" s="11"/>
    </row>
    <row r="43" spans="2:7" ht="32.25" thickBot="1">
      <c r="B43" s="7" t="s">
        <v>34</v>
      </c>
      <c r="C43" s="8"/>
      <c r="D43" s="52">
        <f>D25+D42</f>
        <v>27194192.409080002</v>
      </c>
      <c r="E43" s="15">
        <f>E25+E42</f>
        <v>25371343</v>
      </c>
      <c r="F43" s="3"/>
      <c r="G43" s="11"/>
    </row>
    <row r="44" spans="2:6" ht="48" thickBot="1">
      <c r="B44" s="7" t="s">
        <v>35</v>
      </c>
      <c r="C44" s="8" t="s">
        <v>6</v>
      </c>
      <c r="D44" s="10" t="s">
        <v>7</v>
      </c>
      <c r="E44" s="9" t="s">
        <v>8</v>
      </c>
      <c r="F44" s="3"/>
    </row>
    <row r="45" spans="2:6" ht="16.5" thickBot="1">
      <c r="B45" s="7" t="s">
        <v>36</v>
      </c>
      <c r="C45" s="8"/>
      <c r="D45" s="10"/>
      <c r="E45" s="9"/>
      <c r="F45" s="3"/>
    </row>
    <row r="46" spans="2:6" ht="16.5" thickBot="1">
      <c r="B46" s="7" t="s">
        <v>37</v>
      </c>
      <c r="C46" s="8">
        <v>210</v>
      </c>
      <c r="D46" s="10"/>
      <c r="E46" s="9"/>
      <c r="F46" s="3"/>
    </row>
    <row r="47" spans="2:6" ht="16.5" thickBot="1">
      <c r="B47" s="7" t="s">
        <v>12</v>
      </c>
      <c r="C47" s="8">
        <v>211</v>
      </c>
      <c r="D47" s="10"/>
      <c r="E47" s="9"/>
      <c r="F47" s="3"/>
    </row>
    <row r="48" spans="2:7" ht="32.25" thickBot="1">
      <c r="B48" s="7" t="s">
        <v>38</v>
      </c>
      <c r="C48" s="8">
        <v>212</v>
      </c>
      <c r="D48" s="10">
        <v>216404</v>
      </c>
      <c r="E48" s="9">
        <v>1063514</v>
      </c>
      <c r="F48" s="3"/>
      <c r="G48" s="11"/>
    </row>
    <row r="49" spans="2:10" ht="32.25" thickBot="1">
      <c r="B49" s="7" t="s">
        <v>39</v>
      </c>
      <c r="C49" s="8">
        <v>213</v>
      </c>
      <c r="D49" s="10">
        <v>2630035</v>
      </c>
      <c r="E49" s="9">
        <v>2878485</v>
      </c>
      <c r="F49" s="3"/>
      <c r="J49" s="11"/>
    </row>
    <row r="50" spans="2:6" ht="16.5" thickBot="1">
      <c r="B50" s="7" t="s">
        <v>40</v>
      </c>
      <c r="C50" s="8">
        <v>214</v>
      </c>
      <c r="D50" s="10">
        <v>140047</v>
      </c>
      <c r="E50" s="9">
        <v>111410</v>
      </c>
      <c r="F50" s="3"/>
    </row>
    <row r="51" spans="2:8" ht="32.25" thickBot="1">
      <c r="B51" s="7" t="s">
        <v>41</v>
      </c>
      <c r="C51" s="8">
        <v>215</v>
      </c>
      <c r="D51" s="10"/>
      <c r="E51" s="10"/>
      <c r="F51" s="3"/>
      <c r="H51" s="11"/>
    </row>
    <row r="52" spans="2:6" ht="16.5" thickBot="1">
      <c r="B52" s="7" t="s">
        <v>42</v>
      </c>
      <c r="C52" s="8">
        <v>216</v>
      </c>
      <c r="D52" s="10">
        <v>64147</v>
      </c>
      <c r="E52" s="9">
        <v>38815</v>
      </c>
      <c r="F52" s="3"/>
    </row>
    <row r="53" spans="2:8" ht="16.5" thickBot="1">
      <c r="B53" s="7" t="s">
        <v>43</v>
      </c>
      <c r="C53" s="8">
        <v>217</v>
      </c>
      <c r="D53" s="10">
        <v>57817</v>
      </c>
      <c r="E53" s="12">
        <v>28412</v>
      </c>
      <c r="F53" s="3"/>
      <c r="H53" s="51"/>
    </row>
    <row r="54" spans="2:6" ht="32.25" thickBot="1">
      <c r="B54" s="7" t="s">
        <v>44</v>
      </c>
      <c r="C54" s="8">
        <v>300</v>
      </c>
      <c r="D54" s="72">
        <f>SUM(D48:D53)</f>
        <v>3108450</v>
      </c>
      <c r="E54" s="15">
        <f>SUM(E48:E53)</f>
        <v>4120636</v>
      </c>
      <c r="F54" s="3"/>
    </row>
    <row r="55" spans="2:6" ht="32.25" thickBot="1">
      <c r="B55" s="7" t="s">
        <v>45</v>
      </c>
      <c r="C55" s="8">
        <v>301</v>
      </c>
      <c r="D55" s="10"/>
      <c r="E55" s="9"/>
      <c r="F55" s="3"/>
    </row>
    <row r="56" spans="2:6" ht="16.5" thickBot="1">
      <c r="B56" s="7" t="s">
        <v>46</v>
      </c>
      <c r="C56" s="8"/>
      <c r="D56" s="10"/>
      <c r="E56" s="9"/>
      <c r="F56" s="3"/>
    </row>
    <row r="57" spans="2:6" ht="16.5" thickBot="1">
      <c r="B57" s="7" t="s">
        <v>37</v>
      </c>
      <c r="C57" s="8">
        <v>310</v>
      </c>
      <c r="D57" s="10"/>
      <c r="E57" s="9"/>
      <c r="F57" s="3"/>
    </row>
    <row r="58" spans="2:6" ht="16.5" thickBot="1">
      <c r="B58" s="7" t="s">
        <v>12</v>
      </c>
      <c r="C58" s="8">
        <v>311</v>
      </c>
      <c r="D58" s="100"/>
      <c r="E58" s="9"/>
      <c r="F58" s="3"/>
    </row>
    <row r="59" spans="2:6" ht="32.25" thickBot="1">
      <c r="B59" s="7" t="s">
        <v>47</v>
      </c>
      <c r="C59" s="99">
        <v>312</v>
      </c>
      <c r="D59" s="102">
        <v>4584872</v>
      </c>
      <c r="E59" s="102">
        <v>2166323</v>
      </c>
      <c r="F59" s="3"/>
    </row>
    <row r="60" spans="2:6" ht="32.25" thickBot="1">
      <c r="B60" s="7" t="s">
        <v>48</v>
      </c>
      <c r="C60" s="8">
        <v>313</v>
      </c>
      <c r="D60" s="16"/>
      <c r="E60" s="9"/>
      <c r="F60" s="3"/>
    </row>
    <row r="61" spans="2:6" ht="16.5" thickBot="1">
      <c r="B61" s="7" t="s">
        <v>49</v>
      </c>
      <c r="C61" s="8">
        <v>314</v>
      </c>
      <c r="D61" s="16">
        <v>60549</v>
      </c>
      <c r="E61" s="14">
        <v>57306</v>
      </c>
      <c r="F61" s="3"/>
    </row>
    <row r="62" spans="2:7" ht="16.5" thickBot="1">
      <c r="B62" s="7" t="s">
        <v>50</v>
      </c>
      <c r="C62" s="8">
        <v>315</v>
      </c>
      <c r="D62" s="16">
        <v>2837544</v>
      </c>
      <c r="E62" s="16">
        <v>2865933</v>
      </c>
      <c r="F62" s="55"/>
      <c r="G62" s="11">
        <f>D62+D63</f>
        <v>4478574</v>
      </c>
    </row>
    <row r="63" spans="2:6" ht="16.5" thickBot="1">
      <c r="B63" s="7" t="s">
        <v>51</v>
      </c>
      <c r="C63" s="8">
        <v>316</v>
      </c>
      <c r="D63" s="16">
        <v>1641030</v>
      </c>
      <c r="E63" s="14">
        <v>1708160</v>
      </c>
      <c r="F63" s="3"/>
    </row>
    <row r="64" spans="2:6" ht="32.25" thickBot="1">
      <c r="B64" s="7" t="s">
        <v>52</v>
      </c>
      <c r="C64" s="8">
        <v>400</v>
      </c>
      <c r="D64" s="15">
        <f>SUM(D57:D63)</f>
        <v>9123995</v>
      </c>
      <c r="E64" s="15">
        <f>SUM(E57:E63)</f>
        <v>6797722</v>
      </c>
      <c r="F64" s="3"/>
    </row>
    <row r="65" spans="2:6" ht="16.5" thickBot="1">
      <c r="B65" s="7" t="s">
        <v>53</v>
      </c>
      <c r="C65" s="8"/>
      <c r="D65" s="73"/>
      <c r="E65" s="14"/>
      <c r="F65" s="3"/>
    </row>
    <row r="66" spans="2:7" ht="16.5" thickBot="1">
      <c r="B66" s="7" t="s">
        <v>54</v>
      </c>
      <c r="C66" s="8">
        <v>410</v>
      </c>
      <c r="D66" s="16">
        <v>1712762</v>
      </c>
      <c r="E66" s="16">
        <v>1712762</v>
      </c>
      <c r="F66" s="3"/>
      <c r="G66" s="11">
        <f>D66-E66</f>
        <v>0</v>
      </c>
    </row>
    <row r="67" spans="2:6" ht="16.5" thickBot="1">
      <c r="B67" s="7" t="s">
        <v>55</v>
      </c>
      <c r="C67" s="8">
        <v>411</v>
      </c>
      <c r="D67" s="73"/>
      <c r="E67" s="14"/>
      <c r="F67" s="3"/>
    </row>
    <row r="68" spans="2:6" ht="32.25" thickBot="1">
      <c r="B68" s="7" t="s">
        <v>56</v>
      </c>
      <c r="C68" s="8">
        <v>412</v>
      </c>
      <c r="D68" s="16">
        <v>-38924</v>
      </c>
      <c r="E68" s="14">
        <v>-38924</v>
      </c>
      <c r="F68" s="3"/>
    </row>
    <row r="69" spans="2:6" ht="16.5" thickBot="1">
      <c r="B69" s="7" t="s">
        <v>57</v>
      </c>
      <c r="C69" s="8">
        <v>413</v>
      </c>
      <c r="D69" s="16">
        <v>7053516</v>
      </c>
      <c r="E69" s="16">
        <v>7754455</v>
      </c>
      <c r="F69" s="55"/>
    </row>
    <row r="70" spans="2:8" ht="32.25" thickBot="1">
      <c r="B70" s="7" t="s">
        <v>58</v>
      </c>
      <c r="C70" s="8">
        <v>414</v>
      </c>
      <c r="D70" s="16">
        <v>6234393</v>
      </c>
      <c r="E70" s="14">
        <v>5024692</v>
      </c>
      <c r="F70" s="13"/>
      <c r="H70" s="11"/>
    </row>
    <row r="71" spans="2:6" ht="48" thickBot="1">
      <c r="B71" s="7" t="s">
        <v>59</v>
      </c>
      <c r="C71" s="8">
        <v>420</v>
      </c>
      <c r="D71" s="73"/>
      <c r="E71" s="9"/>
      <c r="F71" s="3"/>
    </row>
    <row r="72" spans="2:6" ht="16.5" thickBot="1">
      <c r="B72" s="7" t="s">
        <v>60</v>
      </c>
      <c r="C72" s="8">
        <v>421</v>
      </c>
      <c r="D72" s="77"/>
      <c r="E72" s="10"/>
      <c r="F72" s="3"/>
    </row>
    <row r="73" spans="2:6" ht="16.5" thickBot="1">
      <c r="B73" s="7" t="s">
        <v>61</v>
      </c>
      <c r="C73" s="8">
        <v>500</v>
      </c>
      <c r="D73" s="15">
        <f>SUM(D66:D72)</f>
        <v>14961747</v>
      </c>
      <c r="E73" s="15">
        <f>SUM(E66:E72)</f>
        <v>14452985</v>
      </c>
      <c r="F73" s="3"/>
    </row>
    <row r="74" spans="2:8" ht="32.25" thickBot="1">
      <c r="B74" s="7" t="s">
        <v>62</v>
      </c>
      <c r="C74" s="8"/>
      <c r="D74" s="15">
        <f>D54+D64+D73</f>
        <v>27194192</v>
      </c>
      <c r="E74" s="15">
        <f>E54+E64+E73</f>
        <v>25371343</v>
      </c>
      <c r="F74" s="3"/>
      <c r="H74" s="11"/>
    </row>
    <row r="75" spans="2:6" ht="15">
      <c r="B75" s="3"/>
      <c r="C75" s="3"/>
      <c r="D75" s="13"/>
      <c r="E75" s="3"/>
      <c r="F75" s="3"/>
    </row>
    <row r="76" spans="2:6" ht="15">
      <c r="B76" s="3"/>
      <c r="C76" s="3"/>
      <c r="D76" s="13"/>
      <c r="E76" s="13"/>
      <c r="F76" s="3"/>
    </row>
    <row r="77" spans="2:6" ht="15">
      <c r="B77" s="3"/>
      <c r="C77" s="3"/>
      <c r="D77" s="13"/>
      <c r="E77" s="3"/>
      <c r="F77" s="3"/>
    </row>
    <row r="78" spans="2:6" ht="15">
      <c r="B78" s="3" t="s">
        <v>63</v>
      </c>
      <c r="C78" s="3"/>
      <c r="D78" s="13"/>
      <c r="E78" s="3"/>
      <c r="F78" s="3"/>
    </row>
    <row r="79" spans="2:6" ht="15">
      <c r="B79" s="3"/>
      <c r="C79" s="3"/>
      <c r="D79" s="13"/>
      <c r="E79" s="3"/>
      <c r="F79" s="3"/>
    </row>
    <row r="80" spans="2:6" ht="15">
      <c r="B80" s="3" t="s">
        <v>64</v>
      </c>
      <c r="C80" s="3"/>
      <c r="D80" s="3"/>
      <c r="E80" s="3"/>
      <c r="F80" s="3"/>
    </row>
  </sheetData>
  <sheetProtection/>
  <mergeCells count="1">
    <mergeCell ref="B7:C7"/>
  </mergeCells>
  <printOptions/>
  <pageMargins left="0.7480314960629921" right="0.7480314960629921" top="0.984251968503937" bottom="0.4330708661417323" header="0.5118110236220472" footer="0.5118110236220472"/>
  <pageSetup horizontalDpi="600" verticalDpi="600" orientation="portrait" paperSize="9" scale="80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B1:G37"/>
  <sheetViews>
    <sheetView zoomScalePageLayoutView="0" workbookViewId="0" topLeftCell="A13">
      <selection activeCell="B29" sqref="B29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">
      <c r="B1" s="3"/>
      <c r="C1" s="104"/>
      <c r="D1" s="104" t="s">
        <v>169</v>
      </c>
      <c r="E1" s="92"/>
    </row>
    <row r="2" spans="2:5" ht="15">
      <c r="B2" s="3"/>
      <c r="C2" s="104" t="s">
        <v>1</v>
      </c>
      <c r="D2" s="104"/>
      <c r="E2" s="92"/>
    </row>
    <row r="3" spans="2:5" ht="15">
      <c r="B3" s="3"/>
      <c r="C3" s="104" t="s">
        <v>2</v>
      </c>
      <c r="D3" s="104"/>
      <c r="E3" s="92"/>
    </row>
    <row r="4" spans="2:5" ht="15">
      <c r="B4" s="3"/>
      <c r="C4" s="3"/>
      <c r="D4" s="3"/>
      <c r="E4" s="3"/>
    </row>
    <row r="5" spans="2:5" ht="15.75">
      <c r="B5" s="2" t="s">
        <v>170</v>
      </c>
      <c r="C5" s="3"/>
      <c r="D5" s="3"/>
      <c r="E5" s="3"/>
    </row>
    <row r="6" spans="2:5" ht="15.75">
      <c r="B6" s="2"/>
      <c r="C6" s="3"/>
      <c r="D6" s="3"/>
      <c r="E6" s="3"/>
    </row>
    <row r="7" spans="2:5" ht="15.75">
      <c r="B7" s="4" t="s">
        <v>695</v>
      </c>
      <c r="C7" s="3"/>
      <c r="D7" s="3"/>
      <c r="E7" s="3"/>
    </row>
    <row r="8" spans="2:5" ht="15">
      <c r="B8" s="3"/>
      <c r="C8" s="3"/>
      <c r="D8" s="3"/>
      <c r="E8" s="3"/>
    </row>
    <row r="9" spans="2:5" ht="12.75" customHeight="1">
      <c r="B9" s="3"/>
      <c r="C9" s="3"/>
      <c r="D9" s="3"/>
      <c r="E9" s="62" t="s">
        <v>4</v>
      </c>
    </row>
    <row r="10" spans="2:5" ht="3" customHeight="1" hidden="1">
      <c r="B10" s="3"/>
      <c r="C10" s="3"/>
      <c r="D10" s="3"/>
      <c r="E10" s="3"/>
    </row>
    <row r="11" spans="2:5" ht="15.75" thickBot="1">
      <c r="B11" s="3"/>
      <c r="C11" s="3"/>
      <c r="D11" s="3"/>
      <c r="E11" s="3"/>
    </row>
    <row r="12" spans="2:5" ht="63.75" customHeight="1" thickBot="1">
      <c r="B12" s="5" t="s">
        <v>112</v>
      </c>
      <c r="C12" s="6" t="s">
        <v>6</v>
      </c>
      <c r="D12" s="6" t="s">
        <v>113</v>
      </c>
      <c r="E12" s="6" t="s">
        <v>171</v>
      </c>
    </row>
    <row r="13" spans="2:5" ht="16.5" thickBot="1">
      <c r="B13" s="7" t="s">
        <v>172</v>
      </c>
      <c r="C13" s="8">
        <v>10</v>
      </c>
      <c r="D13" s="93">
        <v>8722339</v>
      </c>
      <c r="E13" s="93">
        <v>7898226</v>
      </c>
    </row>
    <row r="14" spans="2:5" ht="34.5" customHeight="1" thickBot="1">
      <c r="B14" s="7" t="s">
        <v>173</v>
      </c>
      <c r="C14" s="8">
        <v>11</v>
      </c>
      <c r="D14" s="101">
        <v>6358279</v>
      </c>
      <c r="E14" s="94">
        <v>5420334</v>
      </c>
    </row>
    <row r="15" spans="2:5" ht="30.75" customHeight="1" thickBot="1">
      <c r="B15" s="7" t="s">
        <v>174</v>
      </c>
      <c r="C15" s="8">
        <v>12</v>
      </c>
      <c r="D15" s="72">
        <f>D13-D14</f>
        <v>2364060</v>
      </c>
      <c r="E15" s="72">
        <f>E13-E14</f>
        <v>2477892</v>
      </c>
    </row>
    <row r="16" spans="2:5" ht="24.75" customHeight="1" thickBot="1">
      <c r="B16" s="7" t="s">
        <v>175</v>
      </c>
      <c r="C16" s="8">
        <v>13</v>
      </c>
      <c r="D16" s="10">
        <v>100635</v>
      </c>
      <c r="E16" s="10">
        <v>95768</v>
      </c>
    </row>
    <row r="17" spans="2:5" ht="21" customHeight="1" thickBot="1">
      <c r="B17" s="7" t="s">
        <v>176</v>
      </c>
      <c r="C17" s="8">
        <v>14</v>
      </c>
      <c r="D17" s="10">
        <v>879081</v>
      </c>
      <c r="E17" s="10">
        <v>734129</v>
      </c>
    </row>
    <row r="18" spans="2:7" ht="16.5" thickBot="1">
      <c r="B18" s="7" t="s">
        <v>177</v>
      </c>
      <c r="C18" s="8">
        <v>15</v>
      </c>
      <c r="D18" s="10"/>
      <c r="E18" s="10"/>
      <c r="G18" s="11">
        <f>D16+D17+D19</f>
        <v>1063465</v>
      </c>
    </row>
    <row r="19" spans="2:5" ht="16.5" thickBot="1">
      <c r="B19" s="7" t="s">
        <v>178</v>
      </c>
      <c r="C19" s="8">
        <v>16</v>
      </c>
      <c r="D19" s="10">
        <v>83749</v>
      </c>
      <c r="E19" s="10">
        <v>74803</v>
      </c>
    </row>
    <row r="20" spans="2:5" ht="35.25" customHeight="1" thickBot="1">
      <c r="B20" s="7" t="s">
        <v>179</v>
      </c>
      <c r="C20" s="8">
        <v>20</v>
      </c>
      <c r="D20" s="10">
        <f>D15-D16-D17+D19-D18</f>
        <v>1468093</v>
      </c>
      <c r="E20" s="10">
        <f>E15-E16-E17+E19-E18</f>
        <v>1722798</v>
      </c>
    </row>
    <row r="21" spans="2:5" ht="24" customHeight="1" thickBot="1">
      <c r="B21" s="7" t="s">
        <v>180</v>
      </c>
      <c r="C21" s="8">
        <v>21</v>
      </c>
      <c r="D21" s="10">
        <v>41867</v>
      </c>
      <c r="E21" s="10">
        <v>7681</v>
      </c>
    </row>
    <row r="22" spans="2:5" ht="29.25" customHeight="1" thickBot="1">
      <c r="B22" s="7" t="s">
        <v>181</v>
      </c>
      <c r="C22" s="8">
        <v>22</v>
      </c>
      <c r="D22" s="10">
        <v>293994</v>
      </c>
      <c r="E22" s="10">
        <v>298273</v>
      </c>
    </row>
    <row r="23" spans="2:5" ht="62.25" customHeight="1" thickBot="1">
      <c r="B23" s="7" t="s">
        <v>182</v>
      </c>
      <c r="C23" s="8">
        <v>23</v>
      </c>
      <c r="D23" s="10"/>
      <c r="E23" s="10"/>
    </row>
    <row r="24" spans="2:5" ht="20.25" customHeight="1" thickBot="1">
      <c r="B24" s="7" t="s">
        <v>183</v>
      </c>
      <c r="C24" s="8">
        <v>24</v>
      </c>
      <c r="D24" s="10"/>
      <c r="E24" s="10"/>
    </row>
    <row r="25" spans="2:5" ht="17.25" customHeight="1" thickBot="1">
      <c r="B25" s="7" t="s">
        <v>184</v>
      </c>
      <c r="C25" s="8">
        <v>25</v>
      </c>
      <c r="D25" s="10"/>
      <c r="E25" s="10"/>
    </row>
    <row r="26" spans="2:5" ht="36" customHeight="1" thickBot="1">
      <c r="B26" s="7" t="s">
        <v>185</v>
      </c>
      <c r="C26" s="8">
        <v>100</v>
      </c>
      <c r="D26" s="72">
        <f>D20+D21-D22-D25</f>
        <v>1215966</v>
      </c>
      <c r="E26" s="72">
        <f>E20+E21-E22-E25</f>
        <v>1432206</v>
      </c>
    </row>
    <row r="27" spans="2:5" ht="23.25" customHeight="1" thickBot="1">
      <c r="B27" s="7" t="s">
        <v>186</v>
      </c>
      <c r="C27" s="5">
        <v>101</v>
      </c>
      <c r="D27" s="95">
        <v>261410</v>
      </c>
      <c r="E27" s="95">
        <v>275579</v>
      </c>
    </row>
    <row r="28" spans="2:5" ht="54.75" customHeight="1" thickBot="1">
      <c r="B28" s="7" t="s">
        <v>187</v>
      </c>
      <c r="C28" s="8">
        <v>200</v>
      </c>
      <c r="D28" s="10">
        <f>D26-D27</f>
        <v>954556</v>
      </c>
      <c r="E28" s="10">
        <f>E26-E27</f>
        <v>1156627</v>
      </c>
    </row>
    <row r="29" spans="2:5" ht="48.75" customHeight="1" thickBot="1">
      <c r="B29" s="7" t="s">
        <v>188</v>
      </c>
      <c r="C29" s="8">
        <v>201</v>
      </c>
      <c r="D29" s="10"/>
      <c r="E29" s="10"/>
    </row>
    <row r="30" spans="2:5" ht="33.75" customHeight="1" thickBot="1">
      <c r="B30" s="7" t="s">
        <v>189</v>
      </c>
      <c r="C30" s="8">
        <v>300</v>
      </c>
      <c r="D30" s="72">
        <f>D28+D29</f>
        <v>954556</v>
      </c>
      <c r="E30" s="72">
        <f>E28+E29</f>
        <v>1156627</v>
      </c>
    </row>
    <row r="31" spans="2:5" ht="16.5" thickBot="1">
      <c r="B31" s="7" t="s">
        <v>193</v>
      </c>
      <c r="C31" s="8"/>
      <c r="D31" s="10">
        <v>750663</v>
      </c>
      <c r="E31" s="10">
        <v>909571</v>
      </c>
    </row>
    <row r="32" spans="2:5" ht="16.5" thickBot="1">
      <c r="B32" s="7" t="s">
        <v>194</v>
      </c>
      <c r="C32" s="8"/>
      <c r="D32" s="10">
        <v>203893</v>
      </c>
      <c r="E32" s="10">
        <v>247056</v>
      </c>
    </row>
    <row r="33" spans="2:5" ht="15">
      <c r="B33" s="96"/>
      <c r="C33" s="3"/>
      <c r="D33" s="3"/>
      <c r="E33" s="97"/>
    </row>
    <row r="34" spans="2:5" ht="15">
      <c r="B34" s="98" t="s">
        <v>63</v>
      </c>
      <c r="C34" s="3"/>
      <c r="D34" s="3"/>
      <c r="E34" s="97"/>
    </row>
    <row r="35" spans="2:5" ht="15">
      <c r="B35" s="96"/>
      <c r="C35" s="3"/>
      <c r="D35" s="3"/>
      <c r="E35" s="97"/>
    </row>
    <row r="36" spans="2:5" ht="15">
      <c r="B36" s="98" t="s">
        <v>64</v>
      </c>
      <c r="C36" s="3"/>
      <c r="D36" s="3"/>
      <c r="E36" s="97"/>
    </row>
    <row r="37" spans="2:4" ht="18">
      <c r="B37" s="85"/>
      <c r="D37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K80"/>
  <sheetViews>
    <sheetView tabSelected="1" workbookViewId="0" topLeftCell="A25">
      <selection activeCell="D34" sqref="D34"/>
    </sheetView>
  </sheetViews>
  <sheetFormatPr defaultColWidth="9.00390625" defaultRowHeight="12.75"/>
  <cols>
    <col min="2" max="2" width="44.625" style="0" bestFit="1" customWidth="1"/>
    <col min="3" max="3" width="6.375" style="0" bestFit="1" customWidth="1"/>
    <col min="4" max="4" width="20.75390625" style="0" bestFit="1" customWidth="1"/>
    <col min="5" max="5" width="19.75390625" style="0" customWidth="1"/>
    <col min="6" max="6" width="12.875" style="0" bestFit="1" customWidth="1"/>
    <col min="7" max="7" width="14.625" style="0" customWidth="1"/>
    <col min="8" max="8" width="21.125" style="0" customWidth="1"/>
    <col min="9" max="9" width="12.75390625" style="0" customWidth="1"/>
    <col min="10" max="10" width="13.875" style="0" bestFit="1" customWidth="1"/>
    <col min="11" max="11" width="15.375" style="0" bestFit="1" customWidth="1"/>
  </cols>
  <sheetData>
    <row r="2" ht="12.75">
      <c r="D2" s="1" t="s">
        <v>0</v>
      </c>
    </row>
    <row r="3" spans="3:4" ht="12.75">
      <c r="C3" s="1" t="s">
        <v>1</v>
      </c>
      <c r="D3" s="1"/>
    </row>
    <row r="4" spans="3:5" ht="12.75">
      <c r="C4" s="1" t="s">
        <v>2</v>
      </c>
      <c r="D4" s="1"/>
      <c r="E4" s="1"/>
    </row>
    <row r="5" spans="2:6" ht="15.75">
      <c r="B5" s="2" t="s">
        <v>3</v>
      </c>
      <c r="C5" s="3"/>
      <c r="D5" s="3"/>
      <c r="E5" s="3"/>
      <c r="F5" s="3"/>
    </row>
    <row r="6" spans="2:6" ht="15.75">
      <c r="B6" s="2"/>
      <c r="C6" s="3"/>
      <c r="D6" s="3"/>
      <c r="E6" s="3"/>
      <c r="F6" s="3"/>
    </row>
    <row r="7" spans="2:6" ht="15.75">
      <c r="B7" s="364" t="s">
        <v>694</v>
      </c>
      <c r="C7" s="364"/>
      <c r="D7" s="3"/>
      <c r="E7" s="3"/>
      <c r="F7" s="3"/>
    </row>
    <row r="8" spans="2:6" ht="15.75">
      <c r="B8" s="4"/>
      <c r="C8" s="3"/>
      <c r="D8" s="3"/>
      <c r="E8" s="3"/>
      <c r="F8" s="3"/>
    </row>
    <row r="9" spans="2:6" ht="7.5" customHeight="1">
      <c r="B9" s="3"/>
      <c r="C9" s="3"/>
      <c r="D9" s="3"/>
      <c r="E9" s="3"/>
      <c r="F9" s="3"/>
    </row>
    <row r="10" spans="2:6" ht="15" customHeight="1">
      <c r="B10" s="3"/>
      <c r="C10" s="3"/>
      <c r="D10" s="3"/>
      <c r="E10" s="62" t="s">
        <v>4</v>
      </c>
      <c r="F10" s="3"/>
    </row>
    <row r="11" spans="2:6" ht="1.5" customHeight="1" hidden="1">
      <c r="B11" s="3"/>
      <c r="C11" s="3"/>
      <c r="D11" s="3"/>
      <c r="E11" s="3"/>
      <c r="F11" s="3"/>
    </row>
    <row r="12" spans="2:6" ht="15.75" thickBot="1">
      <c r="B12" s="3"/>
      <c r="C12" s="3"/>
      <c r="D12" s="3"/>
      <c r="E12" s="3"/>
      <c r="F12" s="3"/>
    </row>
    <row r="13" spans="2:6" ht="48" thickBot="1">
      <c r="B13" s="5" t="s">
        <v>5</v>
      </c>
      <c r="C13" s="6" t="s">
        <v>6</v>
      </c>
      <c r="D13" s="6" t="s">
        <v>7</v>
      </c>
      <c r="E13" s="6" t="s">
        <v>8</v>
      </c>
      <c r="F13" s="3"/>
    </row>
    <row r="14" spans="2:6" ht="16.5" thickBot="1">
      <c r="B14" s="7" t="s">
        <v>9</v>
      </c>
      <c r="C14" s="8"/>
      <c r="D14" s="8"/>
      <c r="E14" s="8"/>
      <c r="F14" s="3"/>
    </row>
    <row r="15" spans="2:6" ht="16.5" thickBot="1">
      <c r="B15" s="7" t="s">
        <v>10</v>
      </c>
      <c r="C15" s="8">
        <v>10</v>
      </c>
      <c r="D15" s="75">
        <v>685637</v>
      </c>
      <c r="E15" s="76">
        <v>1720310</v>
      </c>
      <c r="F15" s="3"/>
    </row>
    <row r="16" spans="2:6" ht="32.25" thickBot="1">
      <c r="B16" s="7" t="s">
        <v>11</v>
      </c>
      <c r="C16" s="8">
        <v>11</v>
      </c>
      <c r="D16" s="10"/>
      <c r="E16" s="9"/>
      <c r="F16" s="3"/>
    </row>
    <row r="17" spans="2:6" ht="16.5" thickBot="1">
      <c r="B17" s="7" t="s">
        <v>12</v>
      </c>
      <c r="C17" s="8">
        <v>12</v>
      </c>
      <c r="D17" s="10"/>
      <c r="E17" s="9"/>
      <c r="F17" s="3"/>
    </row>
    <row r="18" spans="2:6" ht="48" thickBot="1">
      <c r="B18" s="7" t="s">
        <v>13</v>
      </c>
      <c r="C18" s="8">
        <v>13</v>
      </c>
      <c r="D18" s="10"/>
      <c r="E18" s="9"/>
      <c r="F18" s="3"/>
    </row>
    <row r="19" spans="2:6" ht="32.25" thickBot="1">
      <c r="B19" s="7" t="s">
        <v>14</v>
      </c>
      <c r="C19" s="8">
        <v>14</v>
      </c>
      <c r="D19" s="10"/>
      <c r="E19" s="9"/>
      <c r="F19" s="3"/>
    </row>
    <row r="20" spans="2:8" ht="32.25" thickBot="1">
      <c r="B20" s="7" t="s">
        <v>15</v>
      </c>
      <c r="C20" s="8">
        <v>15</v>
      </c>
      <c r="D20" s="16">
        <v>400800</v>
      </c>
      <c r="E20" s="9"/>
      <c r="F20" s="3"/>
      <c r="H20" s="362"/>
    </row>
    <row r="21" spans="2:9" ht="32.25" thickBot="1">
      <c r="B21" s="7" t="s">
        <v>16</v>
      </c>
      <c r="C21" s="8">
        <v>16</v>
      </c>
      <c r="D21" s="16">
        <v>842674</v>
      </c>
      <c r="E21" s="16">
        <v>781327</v>
      </c>
      <c r="F21" s="3"/>
      <c r="G21" s="363"/>
      <c r="H21" s="51"/>
      <c r="I21" s="51"/>
    </row>
    <row r="22" spans="2:8" ht="16.5" thickBot="1">
      <c r="B22" s="7" t="s">
        <v>17</v>
      </c>
      <c r="C22" s="8">
        <v>17</v>
      </c>
      <c r="D22" s="16">
        <v>48287</v>
      </c>
      <c r="E22" s="14">
        <v>46123</v>
      </c>
      <c r="F22" s="3"/>
      <c r="G22" s="363"/>
      <c r="H22" s="51"/>
    </row>
    <row r="23" spans="2:8" ht="16.5" thickBot="1">
      <c r="B23" s="7" t="s">
        <v>18</v>
      </c>
      <c r="C23" s="8">
        <v>18</v>
      </c>
      <c r="D23" s="16">
        <v>225472</v>
      </c>
      <c r="E23" s="14">
        <v>209303</v>
      </c>
      <c r="F23" s="3"/>
      <c r="G23" s="363"/>
      <c r="H23" s="51"/>
    </row>
    <row r="24" spans="2:10" ht="16.5" thickBot="1">
      <c r="B24" s="7" t="s">
        <v>19</v>
      </c>
      <c r="C24" s="8">
        <v>19</v>
      </c>
      <c r="D24" s="10"/>
      <c r="E24" s="9"/>
      <c r="F24" s="3"/>
      <c r="G24" s="363"/>
      <c r="H24" s="51"/>
      <c r="J24" s="51"/>
    </row>
    <row r="25" spans="2:8" ht="32.25" thickBot="1">
      <c r="B25" s="7" t="s">
        <v>20</v>
      </c>
      <c r="C25" s="8">
        <v>100</v>
      </c>
      <c r="D25" s="72">
        <f>SUM(D15:D24)</f>
        <v>2202870</v>
      </c>
      <c r="E25" s="15">
        <f>SUM(E15:E24)</f>
        <v>2757063</v>
      </c>
      <c r="F25" s="3"/>
      <c r="G25" s="363"/>
      <c r="H25" s="51"/>
    </row>
    <row r="26" spans="2:8" ht="32.25" thickBot="1">
      <c r="B26" s="7" t="s">
        <v>21</v>
      </c>
      <c r="C26" s="8">
        <v>101</v>
      </c>
      <c r="D26" s="10"/>
      <c r="E26" s="9"/>
      <c r="F26" s="3"/>
      <c r="G26" s="363"/>
      <c r="H26" s="51"/>
    </row>
    <row r="27" spans="2:8" ht="16.5" thickBot="1">
      <c r="B27" s="7" t="s">
        <v>22</v>
      </c>
      <c r="C27" s="8"/>
      <c r="D27" s="10"/>
      <c r="E27" s="9"/>
      <c r="F27" s="3"/>
      <c r="G27" s="363"/>
      <c r="H27" s="51"/>
    </row>
    <row r="28" spans="2:8" ht="32.25" thickBot="1">
      <c r="B28" s="7" t="s">
        <v>11</v>
      </c>
      <c r="C28" s="8">
        <v>110</v>
      </c>
      <c r="D28" s="10"/>
      <c r="E28" s="9"/>
      <c r="F28" s="3"/>
      <c r="G28" s="363"/>
      <c r="H28" s="51"/>
    </row>
    <row r="29" spans="2:8" ht="16.5" thickBot="1">
      <c r="B29" s="7" t="s">
        <v>12</v>
      </c>
      <c r="C29" s="8">
        <v>111</v>
      </c>
      <c r="D29" s="10"/>
      <c r="E29" s="9"/>
      <c r="F29" s="3"/>
      <c r="G29" s="51"/>
      <c r="H29" s="51"/>
    </row>
    <row r="30" spans="2:8" ht="48" thickBot="1">
      <c r="B30" s="7" t="s">
        <v>13</v>
      </c>
      <c r="C30" s="8">
        <v>112</v>
      </c>
      <c r="D30" s="10"/>
      <c r="E30" s="9"/>
      <c r="F30" s="3"/>
      <c r="G30" s="51"/>
      <c r="H30" s="362"/>
    </row>
    <row r="31" spans="2:7" ht="32.25" thickBot="1">
      <c r="B31" s="7" t="s">
        <v>14</v>
      </c>
      <c r="C31" s="8">
        <v>113</v>
      </c>
      <c r="D31" s="10"/>
      <c r="E31" s="9"/>
      <c r="F31" s="3"/>
      <c r="G31" s="51"/>
    </row>
    <row r="32" spans="2:7" ht="32.25" thickBot="1">
      <c r="B32" s="7" t="s">
        <v>23</v>
      </c>
      <c r="C32" s="8">
        <v>114</v>
      </c>
      <c r="D32" s="10"/>
      <c r="E32" s="9"/>
      <c r="F32" s="3"/>
      <c r="G32" s="244"/>
    </row>
    <row r="33" spans="2:7" ht="32.25" thickBot="1">
      <c r="B33" s="7" t="s">
        <v>24</v>
      </c>
      <c r="C33" s="8">
        <v>115</v>
      </c>
      <c r="D33" s="10"/>
      <c r="E33" s="9"/>
      <c r="F33" s="3"/>
      <c r="G33" s="51"/>
    </row>
    <row r="34" spans="2:7" ht="32.25" thickBot="1">
      <c r="B34" s="7" t="s">
        <v>25</v>
      </c>
      <c r="C34" s="8">
        <v>116</v>
      </c>
      <c r="D34" s="10"/>
      <c r="E34" s="9"/>
      <c r="F34" s="3"/>
      <c r="G34" s="51"/>
    </row>
    <row r="35" spans="2:6" ht="16.5" thickBot="1">
      <c r="B35" s="7" t="s">
        <v>26</v>
      </c>
      <c r="C35" s="8">
        <v>117</v>
      </c>
      <c r="D35" s="10"/>
      <c r="E35" s="10"/>
      <c r="F35" s="3"/>
    </row>
    <row r="36" spans="2:8" ht="16.5" thickBot="1">
      <c r="B36" s="7" t="s">
        <v>27</v>
      </c>
      <c r="C36" s="8">
        <v>118</v>
      </c>
      <c r="D36" s="74">
        <v>24789621</v>
      </c>
      <c r="E36" s="74">
        <v>22505247</v>
      </c>
      <c r="F36" s="3"/>
      <c r="H36" s="11"/>
    </row>
    <row r="37" spans="2:6" ht="16.5" thickBot="1">
      <c r="B37" s="7" t="s">
        <v>28</v>
      </c>
      <c r="C37" s="8">
        <v>119</v>
      </c>
      <c r="D37" s="10"/>
      <c r="E37" s="10"/>
      <c r="F37" s="3"/>
    </row>
    <row r="38" spans="2:6" ht="16.5" thickBot="1">
      <c r="B38" s="7" t="s">
        <v>29</v>
      </c>
      <c r="C38" s="8">
        <v>120</v>
      </c>
      <c r="D38" s="10"/>
      <c r="E38" s="10"/>
      <c r="F38" s="3"/>
    </row>
    <row r="39" spans="2:6" ht="16.5" thickBot="1">
      <c r="B39" s="7" t="s">
        <v>30</v>
      </c>
      <c r="C39" s="8">
        <v>121</v>
      </c>
      <c r="D39" s="16">
        <v>141019</v>
      </c>
      <c r="E39" s="16">
        <v>109033</v>
      </c>
      <c r="F39" s="3"/>
    </row>
    <row r="40" spans="2:6" ht="16.5" thickBot="1">
      <c r="B40" s="7" t="s">
        <v>31</v>
      </c>
      <c r="C40" s="8">
        <v>122</v>
      </c>
      <c r="D40" s="10"/>
      <c r="E40" s="9"/>
      <c r="F40" s="3"/>
    </row>
    <row r="41" spans="2:6" ht="16.5" thickBot="1">
      <c r="B41" s="7" t="s">
        <v>32</v>
      </c>
      <c r="C41" s="8">
        <v>123</v>
      </c>
      <c r="D41" s="10">
        <v>15960</v>
      </c>
      <c r="E41" s="9"/>
      <c r="F41" s="3"/>
    </row>
    <row r="42" spans="2:8" ht="32.25" thickBot="1">
      <c r="B42" s="7" t="s">
        <v>33</v>
      </c>
      <c r="C42" s="8">
        <v>200</v>
      </c>
      <c r="D42" s="52">
        <f>SUM(D28:D41)</f>
        <v>24946600</v>
      </c>
      <c r="E42" s="15">
        <f>SUM(E33:E41)</f>
        <v>22614280</v>
      </c>
      <c r="F42" s="3"/>
      <c r="G42" s="13"/>
      <c r="H42" s="11"/>
    </row>
    <row r="43" spans="2:7" ht="32.25" thickBot="1">
      <c r="B43" s="7" t="s">
        <v>34</v>
      </c>
      <c r="C43" s="8"/>
      <c r="D43" s="52">
        <f>D25+D42</f>
        <v>27149470</v>
      </c>
      <c r="E43" s="15">
        <f>E25+E42</f>
        <v>25371343</v>
      </c>
      <c r="F43" s="3"/>
      <c r="G43" s="11"/>
    </row>
    <row r="44" spans="2:6" ht="48" thickBot="1">
      <c r="B44" s="7" t="s">
        <v>35</v>
      </c>
      <c r="C44" s="8" t="s">
        <v>6</v>
      </c>
      <c r="D44" s="10" t="s">
        <v>7</v>
      </c>
      <c r="E44" s="9" t="s">
        <v>8</v>
      </c>
      <c r="F44" s="3"/>
    </row>
    <row r="45" spans="2:8" ht="16.5" thickBot="1">
      <c r="B45" s="7" t="s">
        <v>36</v>
      </c>
      <c r="C45" s="8"/>
      <c r="D45" s="10"/>
      <c r="E45" s="9"/>
      <c r="F45" s="3"/>
      <c r="H45" s="51"/>
    </row>
    <row r="46" spans="2:8" ht="16.5" thickBot="1">
      <c r="B46" s="7" t="s">
        <v>37</v>
      </c>
      <c r="C46" s="8">
        <v>210</v>
      </c>
      <c r="D46" s="10"/>
      <c r="E46" s="9"/>
      <c r="F46" s="3"/>
      <c r="H46" s="51"/>
    </row>
    <row r="47" spans="2:8" ht="16.5" thickBot="1">
      <c r="B47" s="7" t="s">
        <v>12</v>
      </c>
      <c r="C47" s="8">
        <v>211</v>
      </c>
      <c r="D47" s="10"/>
      <c r="E47" s="9"/>
      <c r="F47" s="3"/>
      <c r="H47" s="362"/>
    </row>
    <row r="48" spans="2:11" ht="32.25" thickBot="1">
      <c r="B48" s="7" t="s">
        <v>38</v>
      </c>
      <c r="C48" s="8">
        <v>212</v>
      </c>
      <c r="D48" s="10">
        <v>314441</v>
      </c>
      <c r="E48" s="9">
        <v>1063514</v>
      </c>
      <c r="F48" s="3"/>
      <c r="G48" s="11"/>
      <c r="K48" s="51"/>
    </row>
    <row r="49" spans="2:11" ht="32.25" thickBot="1">
      <c r="B49" s="7" t="s">
        <v>39</v>
      </c>
      <c r="C49" s="8">
        <v>213</v>
      </c>
      <c r="D49" s="10">
        <v>2585313</v>
      </c>
      <c r="E49" s="9">
        <v>2878485</v>
      </c>
      <c r="F49" s="3"/>
      <c r="J49" s="11"/>
      <c r="K49" s="51"/>
    </row>
    <row r="50" spans="2:11" ht="16.5" thickBot="1">
      <c r="B50" s="7" t="s">
        <v>40</v>
      </c>
      <c r="C50" s="8">
        <v>214</v>
      </c>
      <c r="D50" s="10">
        <v>140047</v>
      </c>
      <c r="E50" s="9">
        <v>111410</v>
      </c>
      <c r="F50" s="3"/>
      <c r="H50" s="362"/>
      <c r="K50" s="51"/>
    </row>
    <row r="51" spans="2:11" ht="32.25" thickBot="1">
      <c r="B51" s="7" t="s">
        <v>41</v>
      </c>
      <c r="C51" s="8">
        <v>215</v>
      </c>
      <c r="D51" s="10"/>
      <c r="E51" s="10"/>
      <c r="F51" s="3"/>
      <c r="H51" s="11"/>
      <c r="K51" s="51"/>
    </row>
    <row r="52" spans="2:11" ht="16.5" thickBot="1">
      <c r="B52" s="7" t="s">
        <v>42</v>
      </c>
      <c r="C52" s="8">
        <v>216</v>
      </c>
      <c r="D52" s="10">
        <v>64147</v>
      </c>
      <c r="E52" s="9">
        <v>38815</v>
      </c>
      <c r="F52" s="3"/>
      <c r="K52" s="362"/>
    </row>
    <row r="53" spans="2:8" ht="16.5" thickBot="1">
      <c r="B53" s="7" t="s">
        <v>43</v>
      </c>
      <c r="C53" s="8">
        <v>217</v>
      </c>
      <c r="D53" s="10">
        <v>57816</v>
      </c>
      <c r="E53" s="12">
        <v>28412</v>
      </c>
      <c r="F53" s="3"/>
      <c r="H53" s="51"/>
    </row>
    <row r="54" spans="2:11" ht="32.25" thickBot="1">
      <c r="B54" s="7" t="s">
        <v>44</v>
      </c>
      <c r="C54" s="8">
        <v>300</v>
      </c>
      <c r="D54" s="72">
        <f>SUM(D48:D53)</f>
        <v>3161764</v>
      </c>
      <c r="E54" s="15">
        <f>SUM(E48:E53)</f>
        <v>4120636</v>
      </c>
      <c r="F54" s="3"/>
      <c r="H54" s="51"/>
      <c r="K54" s="362"/>
    </row>
    <row r="55" spans="2:6" ht="32.25" thickBot="1">
      <c r="B55" s="7" t="s">
        <v>45</v>
      </c>
      <c r="C55" s="8">
        <v>301</v>
      </c>
      <c r="D55" s="10"/>
      <c r="E55" s="9"/>
      <c r="F55" s="3"/>
    </row>
    <row r="56" spans="2:8" ht="16.5" thickBot="1">
      <c r="B56" s="7" t="s">
        <v>46</v>
      </c>
      <c r="C56" s="8"/>
      <c r="D56" s="10"/>
      <c r="E56" s="9"/>
      <c r="F56" s="3"/>
      <c r="H56" s="362"/>
    </row>
    <row r="57" spans="2:6" ht="16.5" thickBot="1">
      <c r="B57" s="7" t="s">
        <v>37</v>
      </c>
      <c r="C57" s="8">
        <v>310</v>
      </c>
      <c r="D57" s="10"/>
      <c r="E57" s="9"/>
      <c r="F57" s="3"/>
    </row>
    <row r="58" spans="2:6" ht="16.5" thickBot="1">
      <c r="B58" s="7" t="s">
        <v>12</v>
      </c>
      <c r="C58" s="8">
        <v>311</v>
      </c>
      <c r="D58" s="100"/>
      <c r="E58" s="9"/>
      <c r="F58" s="3"/>
    </row>
    <row r="59" spans="2:8" ht="32.25" thickBot="1">
      <c r="B59" s="7" t="s">
        <v>47</v>
      </c>
      <c r="C59" s="99">
        <v>312</v>
      </c>
      <c r="D59" s="102">
        <v>4584872</v>
      </c>
      <c r="E59" s="102">
        <v>2166323</v>
      </c>
      <c r="F59" s="3"/>
      <c r="H59" s="51"/>
    </row>
    <row r="60" spans="2:8" ht="32.25" thickBot="1">
      <c r="B60" s="7" t="s">
        <v>48</v>
      </c>
      <c r="C60" s="8">
        <v>313</v>
      </c>
      <c r="D60" s="16"/>
      <c r="E60" s="9"/>
      <c r="F60" s="3"/>
      <c r="H60" s="51"/>
    </row>
    <row r="61" spans="2:8" ht="16.5" thickBot="1">
      <c r="B61" s="7" t="s">
        <v>49</v>
      </c>
      <c r="C61" s="8">
        <v>314</v>
      </c>
      <c r="D61" s="16">
        <v>60549</v>
      </c>
      <c r="E61" s="14">
        <v>57306</v>
      </c>
      <c r="F61" s="3"/>
      <c r="H61" s="362"/>
    </row>
    <row r="62" spans="2:6" ht="16.5" thickBot="1">
      <c r="B62" s="7" t="s">
        <v>50</v>
      </c>
      <c r="C62" s="8">
        <v>315</v>
      </c>
      <c r="D62" s="16">
        <v>2837544</v>
      </c>
      <c r="E62" s="16">
        <v>2865933</v>
      </c>
      <c r="F62" s="55"/>
    </row>
    <row r="63" spans="2:8" ht="16.5" thickBot="1">
      <c r="B63" s="7" t="s">
        <v>51</v>
      </c>
      <c r="C63" s="8">
        <v>316</v>
      </c>
      <c r="D63" s="16">
        <v>1542993</v>
      </c>
      <c r="E63" s="14">
        <v>1708160</v>
      </c>
      <c r="F63" s="3"/>
      <c r="H63" s="362"/>
    </row>
    <row r="64" spans="2:6" ht="32.25" thickBot="1">
      <c r="B64" s="7" t="s">
        <v>52</v>
      </c>
      <c r="C64" s="8">
        <v>400</v>
      </c>
      <c r="D64" s="15">
        <f>SUM(D57:D63)</f>
        <v>9025958</v>
      </c>
      <c r="E64" s="15">
        <f>SUM(E57:E63)</f>
        <v>6797722</v>
      </c>
      <c r="F64" s="3"/>
    </row>
    <row r="65" spans="2:6" ht="16.5" thickBot="1">
      <c r="B65" s="7" t="s">
        <v>53</v>
      </c>
      <c r="C65" s="8"/>
      <c r="D65" s="73"/>
      <c r="E65" s="14"/>
      <c r="F65" s="3"/>
    </row>
    <row r="66" spans="2:7" ht="16.5" thickBot="1">
      <c r="B66" s="7" t="s">
        <v>54</v>
      </c>
      <c r="C66" s="8">
        <v>410</v>
      </c>
      <c r="D66" s="16">
        <v>1712762</v>
      </c>
      <c r="E66" s="16">
        <v>1712762</v>
      </c>
      <c r="F66" s="3"/>
      <c r="G66" s="11"/>
    </row>
    <row r="67" spans="2:6" ht="16.5" thickBot="1">
      <c r="B67" s="7" t="s">
        <v>55</v>
      </c>
      <c r="C67" s="8">
        <v>411</v>
      </c>
      <c r="D67" s="73"/>
      <c r="E67" s="14"/>
      <c r="F67" s="3"/>
    </row>
    <row r="68" spans="2:6" ht="32.25" thickBot="1">
      <c r="B68" s="7" t="s">
        <v>56</v>
      </c>
      <c r="C68" s="8">
        <v>412</v>
      </c>
      <c r="D68" s="16">
        <v>-38924</v>
      </c>
      <c r="E68" s="14">
        <v>-38924</v>
      </c>
      <c r="F68" s="3"/>
    </row>
    <row r="69" spans="2:6" ht="16.5" thickBot="1">
      <c r="B69" s="7" t="s">
        <v>57</v>
      </c>
      <c r="C69" s="8">
        <v>413</v>
      </c>
      <c r="D69" s="16">
        <v>7053517</v>
      </c>
      <c r="E69" s="16">
        <v>7754455</v>
      </c>
      <c r="F69" s="55"/>
    </row>
    <row r="70" spans="2:8" ht="32.25" thickBot="1">
      <c r="B70" s="7" t="s">
        <v>58</v>
      </c>
      <c r="C70" s="8">
        <v>414</v>
      </c>
      <c r="D70" s="16">
        <v>6234393</v>
      </c>
      <c r="E70" s="14">
        <v>5024692</v>
      </c>
      <c r="F70" s="13"/>
      <c r="H70" s="11"/>
    </row>
    <row r="71" spans="2:6" ht="48" thickBot="1">
      <c r="B71" s="7" t="s">
        <v>59</v>
      </c>
      <c r="C71" s="8">
        <v>420</v>
      </c>
      <c r="D71" s="73"/>
      <c r="E71" s="9"/>
      <c r="F71" s="3"/>
    </row>
    <row r="72" spans="2:6" ht="16.5" thickBot="1">
      <c r="B72" s="7" t="s">
        <v>60</v>
      </c>
      <c r="C72" s="8">
        <v>421</v>
      </c>
      <c r="D72" s="77"/>
      <c r="E72" s="10"/>
      <c r="F72" s="3"/>
    </row>
    <row r="73" spans="2:6" ht="16.5" thickBot="1">
      <c r="B73" s="7" t="s">
        <v>61</v>
      </c>
      <c r="C73" s="8">
        <v>500</v>
      </c>
      <c r="D73" s="15">
        <f>SUM(D66:D72)</f>
        <v>14961748</v>
      </c>
      <c r="E73" s="15">
        <f>SUM(E66:E72)</f>
        <v>14452985</v>
      </c>
      <c r="F73" s="3"/>
    </row>
    <row r="74" spans="2:8" ht="32.25" thickBot="1">
      <c r="B74" s="7" t="s">
        <v>62</v>
      </c>
      <c r="C74" s="8"/>
      <c r="D74" s="15">
        <f>D54+D64+D73</f>
        <v>27149470</v>
      </c>
      <c r="E74" s="15">
        <f>E54+E64+E73</f>
        <v>25371343</v>
      </c>
      <c r="F74" s="3"/>
      <c r="H74" s="11"/>
    </row>
    <row r="75" spans="2:6" ht="15">
      <c r="B75" s="3"/>
      <c r="C75" s="3"/>
      <c r="D75" s="13"/>
      <c r="E75" s="3"/>
      <c r="F75" s="3"/>
    </row>
    <row r="76" spans="2:6" ht="15">
      <c r="B76" s="3"/>
      <c r="C76" s="3"/>
      <c r="D76" s="13"/>
      <c r="E76" s="13"/>
      <c r="F76" s="3"/>
    </row>
    <row r="77" spans="2:6" ht="15">
      <c r="B77" s="3"/>
      <c r="C77" s="3"/>
      <c r="D77" s="13"/>
      <c r="E77" s="3"/>
      <c r="F77" s="3"/>
    </row>
    <row r="78" spans="2:6" ht="15">
      <c r="B78" s="3" t="s">
        <v>63</v>
      </c>
      <c r="C78" s="3"/>
      <c r="D78" s="13"/>
      <c r="E78" s="3"/>
      <c r="F78" s="3"/>
    </row>
    <row r="79" spans="2:6" ht="15">
      <c r="B79" s="3"/>
      <c r="C79" s="3"/>
      <c r="D79" s="13"/>
      <c r="E79" s="3"/>
      <c r="F79" s="3"/>
    </row>
    <row r="80" spans="2:6" ht="15">
      <c r="B80" s="3" t="s">
        <v>64</v>
      </c>
      <c r="C80" s="3"/>
      <c r="D80" s="3"/>
      <c r="E80" s="3"/>
      <c r="F80" s="3"/>
    </row>
  </sheetData>
  <sheetProtection/>
  <mergeCells count="1">
    <mergeCell ref="B7:C7"/>
  </mergeCells>
  <printOptions/>
  <pageMargins left="0.75" right="0.75" top="1" bottom="0.42" header="0.5" footer="0.5"/>
  <pageSetup horizontalDpi="600" verticalDpi="600" orientation="portrait" paperSize="9" scale="80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B1:G37"/>
  <sheetViews>
    <sheetView zoomScalePageLayoutView="0" workbookViewId="0" topLeftCell="A2">
      <selection activeCell="D31" sqref="D31"/>
    </sheetView>
  </sheetViews>
  <sheetFormatPr defaultColWidth="9.00390625" defaultRowHeight="12.75"/>
  <cols>
    <col min="1" max="1" width="6.125" style="0" customWidth="1"/>
    <col min="2" max="2" width="50.375" style="0" customWidth="1"/>
    <col min="3" max="3" width="8.75390625" style="0" customWidth="1"/>
    <col min="4" max="4" width="24.25390625" style="0" customWidth="1"/>
    <col min="5" max="6" width="19.25390625" style="0" customWidth="1"/>
  </cols>
  <sheetData>
    <row r="1" spans="2:5" ht="15">
      <c r="B1" s="3"/>
      <c r="C1" s="104"/>
      <c r="D1" s="104" t="s">
        <v>169</v>
      </c>
      <c r="E1" s="92"/>
    </row>
    <row r="2" spans="2:5" ht="15">
      <c r="B2" s="3"/>
      <c r="C2" s="104" t="s">
        <v>1</v>
      </c>
      <c r="D2" s="104"/>
      <c r="E2" s="92"/>
    </row>
    <row r="3" spans="2:5" ht="15">
      <c r="B3" s="3"/>
      <c r="C3" s="104" t="s">
        <v>2</v>
      </c>
      <c r="D3" s="104"/>
      <c r="E3" s="92"/>
    </row>
    <row r="4" spans="2:5" ht="15">
      <c r="B4" s="3"/>
      <c r="C4" s="3"/>
      <c r="D4" s="3"/>
      <c r="E4" s="3"/>
    </row>
    <row r="5" spans="2:5" ht="15.75">
      <c r="B5" s="2" t="s">
        <v>170</v>
      </c>
      <c r="C5" s="3"/>
      <c r="D5" s="3"/>
      <c r="E5" s="3"/>
    </row>
    <row r="6" spans="2:5" ht="15.75">
      <c r="B6" s="2"/>
      <c r="C6" s="3"/>
      <c r="D6" s="3"/>
      <c r="E6" s="3"/>
    </row>
    <row r="7" spans="2:5" ht="15.75">
      <c r="B7" s="4" t="s">
        <v>695</v>
      </c>
      <c r="C7" s="3"/>
      <c r="D7" s="3"/>
      <c r="E7" s="3"/>
    </row>
    <row r="8" spans="2:5" ht="15">
      <c r="B8" s="3"/>
      <c r="C8" s="3"/>
      <c r="D8" s="3"/>
      <c r="E8" s="3"/>
    </row>
    <row r="9" spans="2:5" ht="12.75" customHeight="1">
      <c r="B9" s="3"/>
      <c r="C9" s="3"/>
      <c r="D9" s="3"/>
      <c r="E9" s="62" t="s">
        <v>4</v>
      </c>
    </row>
    <row r="10" spans="2:5" ht="3" customHeight="1" hidden="1">
      <c r="B10" s="3"/>
      <c r="C10" s="3"/>
      <c r="D10" s="3"/>
      <c r="E10" s="3"/>
    </row>
    <row r="11" spans="2:5" ht="15.75" thickBot="1">
      <c r="B11" s="3"/>
      <c r="C11" s="3"/>
      <c r="D11" s="3"/>
      <c r="E11" s="3"/>
    </row>
    <row r="12" spans="2:5" ht="63.75" customHeight="1" thickBot="1">
      <c r="B12" s="5" t="s">
        <v>112</v>
      </c>
      <c r="C12" s="6" t="s">
        <v>6</v>
      </c>
      <c r="D12" s="6" t="s">
        <v>113</v>
      </c>
      <c r="E12" s="6" t="s">
        <v>171</v>
      </c>
    </row>
    <row r="13" spans="2:5" ht="16.5" thickBot="1">
      <c r="B13" s="7" t="s">
        <v>172</v>
      </c>
      <c r="C13" s="8">
        <v>10</v>
      </c>
      <c r="D13" s="93">
        <v>2297631</v>
      </c>
      <c r="E13" s="93">
        <v>2066912</v>
      </c>
    </row>
    <row r="14" spans="2:5" ht="34.5" customHeight="1" thickBot="1">
      <c r="B14" s="7" t="s">
        <v>173</v>
      </c>
      <c r="C14" s="8">
        <v>11</v>
      </c>
      <c r="D14" s="101">
        <v>1671870</v>
      </c>
      <c r="E14" s="94">
        <v>1618454</v>
      </c>
    </row>
    <row r="15" spans="2:5" ht="30.75" customHeight="1" thickBot="1">
      <c r="B15" s="7" t="s">
        <v>174</v>
      </c>
      <c r="C15" s="8">
        <v>12</v>
      </c>
      <c r="D15" s="72">
        <f>D13-D14</f>
        <v>625761</v>
      </c>
      <c r="E15" s="72">
        <f>E13-E14</f>
        <v>448458</v>
      </c>
    </row>
    <row r="16" spans="2:5" ht="24.75" customHeight="1" thickBot="1">
      <c r="B16" s="7" t="s">
        <v>175</v>
      </c>
      <c r="C16" s="8">
        <v>13</v>
      </c>
      <c r="D16" s="10">
        <v>34577</v>
      </c>
      <c r="E16" s="10">
        <v>39632</v>
      </c>
    </row>
    <row r="17" spans="2:5" ht="21" customHeight="1" thickBot="1">
      <c r="B17" s="7" t="s">
        <v>176</v>
      </c>
      <c r="C17" s="8">
        <v>14</v>
      </c>
      <c r="D17" s="10">
        <v>230306</v>
      </c>
      <c r="E17" s="10">
        <v>295362</v>
      </c>
    </row>
    <row r="18" spans="2:7" ht="16.5" thickBot="1">
      <c r="B18" s="7" t="s">
        <v>177</v>
      </c>
      <c r="C18" s="8">
        <v>15</v>
      </c>
      <c r="D18" s="10"/>
      <c r="E18" s="10"/>
      <c r="G18" s="11"/>
    </row>
    <row r="19" spans="2:5" ht="16.5" thickBot="1">
      <c r="B19" s="7" t="s">
        <v>178</v>
      </c>
      <c r="C19" s="8">
        <v>16</v>
      </c>
      <c r="D19" s="10">
        <v>33934</v>
      </c>
      <c r="E19" s="10">
        <v>6074</v>
      </c>
    </row>
    <row r="20" spans="2:5" ht="35.25" customHeight="1" thickBot="1">
      <c r="B20" s="7" t="s">
        <v>179</v>
      </c>
      <c r="C20" s="8">
        <v>20</v>
      </c>
      <c r="D20" s="10">
        <f>D15+-D16-D17+D19</f>
        <v>394812</v>
      </c>
      <c r="E20" s="10">
        <f>E15-E16-E17+E19-E18</f>
        <v>119538</v>
      </c>
    </row>
    <row r="21" spans="2:5" ht="24" customHeight="1" thickBot="1">
      <c r="B21" s="7" t="s">
        <v>180</v>
      </c>
      <c r="C21" s="8">
        <v>21</v>
      </c>
      <c r="D21" s="10">
        <v>29918</v>
      </c>
      <c r="E21" s="10">
        <v>3781</v>
      </c>
    </row>
    <row r="22" spans="2:5" ht="29.25" customHeight="1" thickBot="1">
      <c r="B22" s="7" t="s">
        <v>181</v>
      </c>
      <c r="C22" s="8">
        <v>22</v>
      </c>
      <c r="D22" s="10">
        <v>79298</v>
      </c>
      <c r="E22" s="10">
        <v>78908</v>
      </c>
    </row>
    <row r="23" spans="2:5" ht="62.25" customHeight="1" thickBot="1">
      <c r="B23" s="7" t="s">
        <v>182</v>
      </c>
      <c r="C23" s="8">
        <v>23</v>
      </c>
      <c r="D23" s="10"/>
      <c r="E23" s="10"/>
    </row>
    <row r="24" spans="2:5" ht="20.25" customHeight="1" thickBot="1">
      <c r="B24" s="7" t="s">
        <v>183</v>
      </c>
      <c r="C24" s="8">
        <v>24</v>
      </c>
      <c r="D24" s="10"/>
      <c r="E24" s="10"/>
    </row>
    <row r="25" spans="2:5" ht="17.25" customHeight="1" thickBot="1">
      <c r="B25" s="7" t="s">
        <v>184</v>
      </c>
      <c r="C25" s="8">
        <v>25</v>
      </c>
      <c r="D25" s="10"/>
      <c r="E25" s="10"/>
    </row>
    <row r="26" spans="2:5" ht="36" customHeight="1" thickBot="1">
      <c r="B26" s="7" t="s">
        <v>185</v>
      </c>
      <c r="C26" s="8">
        <v>100</v>
      </c>
      <c r="D26" s="72">
        <f>D20+D21-D22</f>
        <v>345432</v>
      </c>
      <c r="E26" s="72">
        <f>E20+E21-E22-E25</f>
        <v>44411</v>
      </c>
    </row>
    <row r="27" spans="2:5" ht="23.25" customHeight="1" thickBot="1">
      <c r="B27" s="7" t="s">
        <v>186</v>
      </c>
      <c r="C27" s="5">
        <v>101</v>
      </c>
      <c r="D27" s="95">
        <v>90594</v>
      </c>
      <c r="E27" s="95">
        <v>8247</v>
      </c>
    </row>
    <row r="28" spans="2:5" ht="54.75" customHeight="1" thickBot="1">
      <c r="B28" s="7" t="s">
        <v>187</v>
      </c>
      <c r="C28" s="8">
        <v>200</v>
      </c>
      <c r="D28" s="10">
        <f>D26-D27</f>
        <v>254838</v>
      </c>
      <c r="E28" s="10">
        <f>E26-E27</f>
        <v>36164</v>
      </c>
    </row>
    <row r="29" spans="2:5" ht="48.75" customHeight="1" thickBot="1">
      <c r="B29" s="7" t="s">
        <v>188</v>
      </c>
      <c r="C29" s="8">
        <v>201</v>
      </c>
      <c r="D29" s="10"/>
      <c r="E29" s="10"/>
    </row>
    <row r="30" spans="2:5" ht="33.75" customHeight="1" thickBot="1">
      <c r="B30" s="7" t="s">
        <v>189</v>
      </c>
      <c r="C30" s="8">
        <v>300</v>
      </c>
      <c r="D30" s="72">
        <f>D28+D29</f>
        <v>254838</v>
      </c>
      <c r="E30" s="72">
        <f>E28+E29</f>
        <v>36164</v>
      </c>
    </row>
    <row r="31" spans="2:5" ht="16.5" thickBot="1">
      <c r="B31" s="7" t="s">
        <v>193</v>
      </c>
      <c r="C31" s="8"/>
      <c r="D31" s="10"/>
      <c r="E31" s="10"/>
    </row>
    <row r="32" spans="2:5" ht="16.5" thickBot="1">
      <c r="B32" s="7" t="s">
        <v>194</v>
      </c>
      <c r="C32" s="8"/>
      <c r="D32" s="10"/>
      <c r="E32" s="10"/>
    </row>
    <row r="33" spans="2:5" ht="15">
      <c r="B33" s="96"/>
      <c r="C33" s="3"/>
      <c r="D33" s="3"/>
      <c r="E33" s="97"/>
    </row>
    <row r="34" spans="2:5" ht="15">
      <c r="B34" s="98" t="s">
        <v>63</v>
      </c>
      <c r="C34" s="3"/>
      <c r="D34" s="3"/>
      <c r="E34" s="97"/>
    </row>
    <row r="35" spans="2:5" ht="15">
      <c r="B35" s="96"/>
      <c r="C35" s="3"/>
      <c r="D35" s="3"/>
      <c r="E35" s="97"/>
    </row>
    <row r="36" spans="2:5" ht="15">
      <c r="B36" s="98" t="s">
        <v>64</v>
      </c>
      <c r="C36" s="3"/>
      <c r="D36" s="3"/>
      <c r="E36" s="97"/>
    </row>
    <row r="37" spans="2:4" ht="18">
      <c r="B37" s="85"/>
      <c r="D37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7:M63"/>
  <sheetViews>
    <sheetView zoomScalePageLayoutView="0" workbookViewId="0" topLeftCell="A11">
      <selection activeCell="E16" sqref="E16"/>
    </sheetView>
  </sheetViews>
  <sheetFormatPr defaultColWidth="9.00390625" defaultRowHeight="12.75"/>
  <cols>
    <col min="1" max="1" width="13.625" style="0" customWidth="1"/>
    <col min="2" max="2" width="25.00390625" style="0" customWidth="1"/>
    <col min="3" max="3" width="15.125" style="0" customWidth="1"/>
    <col min="4" max="4" width="9.75390625" style="0" bestFit="1" customWidth="1"/>
    <col min="5" max="5" width="8.87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8.25390625" style="0" customWidth="1"/>
  </cols>
  <sheetData>
    <row r="1" s="17" customFormat="1" ht="12" customHeight="1"/>
    <row r="2" s="17" customFormat="1" ht="12.75" hidden="1"/>
    <row r="3" s="17" customFormat="1" ht="12.75" hidden="1"/>
    <row r="4" s="17" customFormat="1" ht="12.75" hidden="1"/>
    <row r="5" s="17" customFormat="1" ht="12.75"/>
    <row r="6" s="17" customFormat="1" ht="12.75"/>
    <row r="7" spans="1:8" s="17" customFormat="1" ht="12.75">
      <c r="A7" s="18" t="str">
        <f>+'[1]Ф1'!A1</f>
        <v>Введите название компании</v>
      </c>
      <c r="B7" s="18"/>
      <c r="C7" s="19" t="s">
        <v>65</v>
      </c>
      <c r="D7" s="19"/>
      <c r="E7" s="20"/>
      <c r="F7" s="19"/>
      <c r="G7" s="19"/>
      <c r="H7" s="19"/>
    </row>
    <row r="8" spans="1:8" s="22" customFormat="1" ht="15.75" customHeight="1">
      <c r="A8" s="21" t="s">
        <v>66</v>
      </c>
      <c r="B8" s="373" t="s">
        <v>593</v>
      </c>
      <c r="C8" s="373"/>
      <c r="D8" s="373"/>
      <c r="E8" s="373"/>
      <c r="F8" s="373"/>
      <c r="G8" s="374"/>
      <c r="H8" s="374"/>
    </row>
    <row r="9" s="17" customFormat="1" ht="13.5" thickBot="1"/>
    <row r="10" spans="1:13" s="17" customFormat="1" ht="21.75" customHeight="1" thickBot="1">
      <c r="A10" s="23" t="s">
        <v>67</v>
      </c>
      <c r="B10" s="375"/>
      <c r="C10" s="371" t="s">
        <v>68</v>
      </c>
      <c r="D10" s="371" t="s">
        <v>69</v>
      </c>
      <c r="E10" s="371" t="s">
        <v>70</v>
      </c>
      <c r="F10" s="371" t="s">
        <v>71</v>
      </c>
      <c r="G10" s="371" t="s">
        <v>72</v>
      </c>
      <c r="H10" s="371" t="s">
        <v>73</v>
      </c>
      <c r="I10" s="371" t="s">
        <v>74</v>
      </c>
      <c r="J10" s="371" t="s">
        <v>58</v>
      </c>
      <c r="K10" s="371" t="s">
        <v>75</v>
      </c>
      <c r="L10" s="371" t="s">
        <v>76</v>
      </c>
      <c r="M10" s="372" t="s">
        <v>77</v>
      </c>
    </row>
    <row r="11" spans="1:13" s="17" customFormat="1" ht="63.75" customHeight="1" thickBot="1">
      <c r="A11" s="23"/>
      <c r="B11" s="375"/>
      <c r="C11" s="376"/>
      <c r="D11" s="376"/>
      <c r="E11" s="371"/>
      <c r="F11" s="376"/>
      <c r="G11" s="371"/>
      <c r="H11" s="371"/>
      <c r="I11" s="371"/>
      <c r="J11" s="376"/>
      <c r="K11" s="371"/>
      <c r="L11" s="371"/>
      <c r="M11" s="372"/>
    </row>
    <row r="12" spans="1:13" s="17" customFormat="1" ht="13.5" thickBot="1">
      <c r="A12" s="24"/>
      <c r="B12" s="25"/>
      <c r="C12" s="26" t="s">
        <v>78</v>
      </c>
      <c r="D12" s="26" t="s">
        <v>78</v>
      </c>
      <c r="E12" s="26" t="s">
        <v>78</v>
      </c>
      <c r="F12" s="26" t="s">
        <v>78</v>
      </c>
      <c r="G12" s="26" t="s">
        <v>78</v>
      </c>
      <c r="H12" s="26" t="s">
        <v>78</v>
      </c>
      <c r="I12" s="26" t="s">
        <v>78</v>
      </c>
      <c r="J12" s="26" t="s">
        <v>78</v>
      </c>
      <c r="K12" s="26" t="s">
        <v>78</v>
      </c>
      <c r="L12" s="26" t="s">
        <v>78</v>
      </c>
      <c r="M12" s="26" t="s">
        <v>78</v>
      </c>
    </row>
    <row r="13" spans="1:13" s="17" customFormat="1" ht="24.75" customHeight="1" thickBot="1">
      <c r="A13" s="27"/>
      <c r="B13" s="28" t="s">
        <v>190</v>
      </c>
      <c r="C13" s="56">
        <v>1712762</v>
      </c>
      <c r="D13" s="56">
        <v>-38924</v>
      </c>
      <c r="E13" s="56"/>
      <c r="F13" s="56">
        <v>8443674</v>
      </c>
      <c r="G13" s="56"/>
      <c r="H13" s="56"/>
      <c r="I13" s="56"/>
      <c r="J13" s="56">
        <v>3428770</v>
      </c>
      <c r="K13" s="57">
        <f>SUM(C13:J13)</f>
        <v>13546282</v>
      </c>
      <c r="L13" s="56"/>
      <c r="M13" s="57">
        <f aca="true" t="shared" si="0" ref="M13:M34">+K13+L13</f>
        <v>13546282</v>
      </c>
    </row>
    <row r="14" spans="1:13" s="17" customFormat="1" ht="39.75" customHeight="1" thickBot="1">
      <c r="A14" s="27" t="s">
        <v>79</v>
      </c>
      <c r="B14" s="29" t="s">
        <v>80</v>
      </c>
      <c r="C14" s="58"/>
      <c r="D14" s="58"/>
      <c r="E14" s="58"/>
      <c r="F14" s="58"/>
      <c r="G14" s="58"/>
      <c r="H14" s="58"/>
      <c r="I14" s="58"/>
      <c r="J14" s="58"/>
      <c r="K14" s="59">
        <f aca="true" t="shared" si="1" ref="K14:K34">+SUM(C14:J14)</f>
        <v>0</v>
      </c>
      <c r="L14" s="58"/>
      <c r="M14" s="59">
        <f t="shared" si="0"/>
        <v>0</v>
      </c>
    </row>
    <row r="15" spans="1:13" s="17" customFormat="1" ht="34.5" customHeight="1" thickBot="1">
      <c r="A15" s="27" t="s">
        <v>79</v>
      </c>
      <c r="B15" s="29" t="s">
        <v>81</v>
      </c>
      <c r="C15" s="58"/>
      <c r="D15" s="58"/>
      <c r="E15" s="58"/>
      <c r="F15" s="58"/>
      <c r="G15" s="58"/>
      <c r="H15" s="58"/>
      <c r="I15" s="58"/>
      <c r="J15" s="58"/>
      <c r="K15" s="59">
        <f t="shared" si="1"/>
        <v>0</v>
      </c>
      <c r="L15" s="58"/>
      <c r="M15" s="59">
        <f t="shared" si="0"/>
        <v>0</v>
      </c>
    </row>
    <row r="16" spans="1:13" s="17" customFormat="1" ht="51.75" customHeight="1" thickBot="1">
      <c r="A16" s="27" t="s">
        <v>79</v>
      </c>
      <c r="B16" s="29" t="s">
        <v>82</v>
      </c>
      <c r="C16" s="58"/>
      <c r="D16" s="58"/>
      <c r="E16" s="58"/>
      <c r="F16" s="58"/>
      <c r="G16" s="58"/>
      <c r="H16" s="58"/>
      <c r="I16" s="58"/>
      <c r="J16" s="58"/>
      <c r="K16" s="59">
        <f t="shared" si="1"/>
        <v>0</v>
      </c>
      <c r="L16" s="58"/>
      <c r="M16" s="59">
        <f t="shared" si="0"/>
        <v>0</v>
      </c>
    </row>
    <row r="17" spans="1:13" s="17" customFormat="1" ht="29.25" customHeight="1" thickBot="1">
      <c r="A17" s="27" t="s">
        <v>83</v>
      </c>
      <c r="B17" s="29" t="s">
        <v>84</v>
      </c>
      <c r="C17" s="58"/>
      <c r="D17" s="58"/>
      <c r="E17" s="58"/>
      <c r="F17" s="58"/>
      <c r="G17" s="58"/>
      <c r="H17" s="58"/>
      <c r="I17" s="58"/>
      <c r="J17" s="58"/>
      <c r="K17" s="59">
        <f>+SUM(C17:J17)</f>
        <v>0</v>
      </c>
      <c r="L17" s="58"/>
      <c r="M17" s="59">
        <f t="shared" si="0"/>
        <v>0</v>
      </c>
    </row>
    <row r="18" spans="1:13" s="17" customFormat="1" ht="29.25" customHeight="1" thickBot="1">
      <c r="A18" s="27" t="s">
        <v>79</v>
      </c>
      <c r="B18" s="29" t="s">
        <v>85</v>
      </c>
      <c r="C18" s="58"/>
      <c r="D18" s="58"/>
      <c r="E18" s="58"/>
      <c r="F18" s="58"/>
      <c r="G18" s="58"/>
      <c r="H18" s="58"/>
      <c r="I18" s="58"/>
      <c r="J18" s="58"/>
      <c r="K18" s="59">
        <f t="shared" si="1"/>
        <v>0</v>
      </c>
      <c r="L18" s="58"/>
      <c r="M18" s="59">
        <f t="shared" si="0"/>
        <v>0</v>
      </c>
    </row>
    <row r="19" spans="1:13" s="17" customFormat="1" ht="40.5" customHeight="1" thickBot="1">
      <c r="A19" s="27" t="s">
        <v>79</v>
      </c>
      <c r="B19" s="28" t="s">
        <v>86</v>
      </c>
      <c r="C19" s="59">
        <f aca="true" t="shared" si="2" ref="C19:J19">+SUM(C14:C18)</f>
        <v>0</v>
      </c>
      <c r="D19" s="59">
        <f t="shared" si="2"/>
        <v>0</v>
      </c>
      <c r="E19" s="59">
        <f t="shared" si="2"/>
        <v>0</v>
      </c>
      <c r="F19" s="59"/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1"/>
        <v>0</v>
      </c>
      <c r="L19" s="59">
        <f>+SUM(L14:L18)</f>
        <v>0</v>
      </c>
      <c r="M19" s="59">
        <f t="shared" si="0"/>
        <v>0</v>
      </c>
    </row>
    <row r="20" spans="1:13" s="17" customFormat="1" ht="27.75" customHeight="1" thickBot="1">
      <c r="A20" s="27"/>
      <c r="B20" s="29" t="s">
        <v>87</v>
      </c>
      <c r="C20" s="58"/>
      <c r="D20" s="58"/>
      <c r="E20" s="58"/>
      <c r="F20" s="58"/>
      <c r="G20" s="58"/>
      <c r="H20" s="58"/>
      <c r="I20" s="58"/>
      <c r="J20" s="58"/>
      <c r="K20" s="59">
        <f t="shared" si="1"/>
        <v>0</v>
      </c>
      <c r="L20" s="58"/>
      <c r="M20" s="59">
        <f t="shared" si="0"/>
        <v>0</v>
      </c>
    </row>
    <row r="21" spans="1:13" s="17" customFormat="1" ht="46.5" customHeight="1" thickBot="1">
      <c r="A21" s="27" t="s">
        <v>88</v>
      </c>
      <c r="B21" s="29" t="s">
        <v>89</v>
      </c>
      <c r="C21" s="58"/>
      <c r="D21" s="58"/>
      <c r="E21" s="58"/>
      <c r="F21" s="58"/>
      <c r="G21" s="58"/>
      <c r="H21" s="58"/>
      <c r="I21" s="58"/>
      <c r="J21" s="58"/>
      <c r="K21" s="59">
        <f t="shared" si="1"/>
        <v>0</v>
      </c>
      <c r="L21" s="58"/>
      <c r="M21" s="59">
        <f t="shared" si="0"/>
        <v>0</v>
      </c>
    </row>
    <row r="22" spans="1:13" s="17" customFormat="1" ht="70.5" customHeight="1" thickBot="1">
      <c r="A22" s="27" t="s">
        <v>90</v>
      </c>
      <c r="B22" s="29" t="s">
        <v>91</v>
      </c>
      <c r="C22" s="58"/>
      <c r="D22" s="58"/>
      <c r="E22" s="58"/>
      <c r="F22" s="58"/>
      <c r="G22" s="58"/>
      <c r="H22" s="58"/>
      <c r="I22" s="58"/>
      <c r="J22" s="58"/>
      <c r="K22" s="59">
        <f t="shared" si="1"/>
        <v>0</v>
      </c>
      <c r="L22" s="58"/>
      <c r="M22" s="59">
        <f t="shared" si="0"/>
        <v>0</v>
      </c>
    </row>
    <row r="23" spans="1:13" s="17" customFormat="1" ht="37.5" customHeight="1" thickBot="1">
      <c r="A23" s="27"/>
      <c r="B23" s="29" t="s">
        <v>92</v>
      </c>
      <c r="C23" s="58"/>
      <c r="D23" s="58"/>
      <c r="E23" s="58"/>
      <c r="F23" s="58">
        <v>-689218.527</v>
      </c>
      <c r="G23" s="58"/>
      <c r="H23" s="58"/>
      <c r="I23" s="58"/>
      <c r="J23" s="58">
        <v>689218.527</v>
      </c>
      <c r="K23" s="59">
        <f t="shared" si="1"/>
        <v>0</v>
      </c>
      <c r="L23" s="58"/>
      <c r="M23" s="59">
        <f t="shared" si="0"/>
        <v>0</v>
      </c>
    </row>
    <row r="24" spans="1:13" s="17" customFormat="1" ht="16.5" customHeight="1" thickBot="1">
      <c r="A24" s="27"/>
      <c r="B24" s="29" t="s">
        <v>93</v>
      </c>
      <c r="C24" s="58"/>
      <c r="D24" s="58"/>
      <c r="E24" s="58"/>
      <c r="F24" s="58"/>
      <c r="G24" s="58"/>
      <c r="H24" s="58"/>
      <c r="I24" s="58"/>
      <c r="J24" s="58"/>
      <c r="K24" s="59">
        <f t="shared" si="1"/>
        <v>0</v>
      </c>
      <c r="L24" s="58"/>
      <c r="M24" s="59">
        <f t="shared" si="0"/>
        <v>0</v>
      </c>
    </row>
    <row r="25" spans="1:13" s="17" customFormat="1" ht="26.25" customHeight="1" thickBot="1">
      <c r="A25" s="27" t="s">
        <v>94</v>
      </c>
      <c r="B25" s="30" t="s">
        <v>95</v>
      </c>
      <c r="C25" s="58"/>
      <c r="D25" s="58"/>
      <c r="E25" s="58"/>
      <c r="F25" s="58"/>
      <c r="G25" s="58"/>
      <c r="H25" s="58"/>
      <c r="I25" s="58"/>
      <c r="J25" s="60">
        <v>1156627.527</v>
      </c>
      <c r="K25" s="59">
        <f t="shared" si="1"/>
        <v>1156627.527</v>
      </c>
      <c r="L25" s="58"/>
      <c r="M25" s="59">
        <f t="shared" si="0"/>
        <v>1156627.527</v>
      </c>
    </row>
    <row r="26" spans="1:13" s="17" customFormat="1" ht="23.25" thickBot="1">
      <c r="A26" s="27" t="s">
        <v>96</v>
      </c>
      <c r="B26" s="28" t="s">
        <v>97</v>
      </c>
      <c r="C26" s="58">
        <f aca="true" t="shared" si="3" ref="C26:I26">+SUM(C19:C25)</f>
        <v>0</v>
      </c>
      <c r="D26" s="58">
        <f t="shared" si="3"/>
        <v>0</v>
      </c>
      <c r="E26" s="58">
        <f t="shared" si="3"/>
        <v>0</v>
      </c>
      <c r="F26" s="58">
        <f>+SUM(F19:F25)</f>
        <v>-689218.527</v>
      </c>
      <c r="G26" s="58">
        <f t="shared" si="3"/>
        <v>0</v>
      </c>
      <c r="H26" s="58">
        <f t="shared" si="3"/>
        <v>0</v>
      </c>
      <c r="I26" s="58">
        <f t="shared" si="3"/>
        <v>0</v>
      </c>
      <c r="J26" s="60">
        <f>+SUM(J19:J25)</f>
        <v>1845846.054</v>
      </c>
      <c r="K26" s="59">
        <f>+SUM(C26:J26)</f>
        <v>1156627.527</v>
      </c>
      <c r="L26" s="58">
        <f>+SUM(L19:L25)</f>
        <v>0</v>
      </c>
      <c r="M26" s="59">
        <f>+K26+L26</f>
        <v>1156627.527</v>
      </c>
    </row>
    <row r="27" spans="1:13" s="17" customFormat="1" ht="25.5" customHeight="1" thickBot="1">
      <c r="A27" s="27" t="s">
        <v>98</v>
      </c>
      <c r="B27" s="29" t="s">
        <v>99</v>
      </c>
      <c r="C27" s="58"/>
      <c r="D27" s="58"/>
      <c r="E27" s="58"/>
      <c r="F27" s="58"/>
      <c r="G27" s="58"/>
      <c r="H27" s="58"/>
      <c r="I27" s="58"/>
      <c r="J27" s="58"/>
      <c r="K27" s="59">
        <f t="shared" si="1"/>
        <v>0</v>
      </c>
      <c r="L27" s="58"/>
      <c r="M27" s="59">
        <f t="shared" si="0"/>
        <v>0</v>
      </c>
    </row>
    <row r="28" spans="1:13" s="17" customFormat="1" ht="25.5" customHeight="1" thickBot="1">
      <c r="A28" s="27"/>
      <c r="B28" s="29" t="s">
        <v>100</v>
      </c>
      <c r="C28" s="58"/>
      <c r="D28" s="58"/>
      <c r="E28" s="58"/>
      <c r="F28" s="58"/>
      <c r="G28" s="58"/>
      <c r="H28" s="58"/>
      <c r="I28" s="58"/>
      <c r="J28" s="58"/>
      <c r="K28" s="59">
        <f t="shared" si="1"/>
        <v>0</v>
      </c>
      <c r="L28" s="58"/>
      <c r="M28" s="59">
        <f t="shared" si="0"/>
        <v>0</v>
      </c>
    </row>
    <row r="29" spans="1:13" s="17" customFormat="1" ht="27" customHeight="1" thickBot="1">
      <c r="A29" s="27" t="s">
        <v>98</v>
      </c>
      <c r="B29" s="29" t="s">
        <v>101</v>
      </c>
      <c r="C29" s="58"/>
      <c r="D29" s="58"/>
      <c r="E29" s="58"/>
      <c r="F29" s="58"/>
      <c r="G29" s="58"/>
      <c r="H29" s="58"/>
      <c r="I29" s="58"/>
      <c r="J29" s="58"/>
      <c r="K29" s="59">
        <f t="shared" si="1"/>
        <v>0</v>
      </c>
      <c r="L29" s="58"/>
      <c r="M29" s="59">
        <f t="shared" si="0"/>
        <v>0</v>
      </c>
    </row>
    <row r="30" spans="1:13" s="17" customFormat="1" ht="23.25" customHeight="1" thickBot="1">
      <c r="A30" s="27" t="s">
        <v>98</v>
      </c>
      <c r="B30" s="29" t="s">
        <v>102</v>
      </c>
      <c r="C30" s="58"/>
      <c r="D30" s="58"/>
      <c r="E30" s="58"/>
      <c r="F30" s="58"/>
      <c r="G30" s="58"/>
      <c r="H30" s="58"/>
      <c r="I30" s="58"/>
      <c r="J30" s="58"/>
      <c r="K30" s="59">
        <f t="shared" si="1"/>
        <v>0</v>
      </c>
      <c r="L30" s="58"/>
      <c r="M30" s="59">
        <f t="shared" si="0"/>
        <v>0</v>
      </c>
    </row>
    <row r="31" spans="1:13" s="17" customFormat="1" ht="27.75" customHeight="1" thickBot="1">
      <c r="A31" s="27" t="s">
        <v>98</v>
      </c>
      <c r="B31" s="29" t="s">
        <v>103</v>
      </c>
      <c r="C31" s="58"/>
      <c r="D31" s="58"/>
      <c r="E31" s="58"/>
      <c r="F31" s="58"/>
      <c r="G31" s="58"/>
      <c r="H31" s="58"/>
      <c r="I31" s="58"/>
      <c r="J31" s="58"/>
      <c r="K31" s="59">
        <f t="shared" si="1"/>
        <v>0</v>
      </c>
      <c r="L31" s="58"/>
      <c r="M31" s="59">
        <f t="shared" si="0"/>
        <v>0</v>
      </c>
    </row>
    <row r="32" spans="1:13" s="17" customFormat="1" ht="25.5" customHeight="1" thickBot="1">
      <c r="A32" s="27"/>
      <c r="B32" s="29" t="s">
        <v>104</v>
      </c>
      <c r="C32" s="58"/>
      <c r="D32" s="58"/>
      <c r="E32" s="58"/>
      <c r="F32" s="58"/>
      <c r="G32" s="58"/>
      <c r="H32" s="58"/>
      <c r="I32" s="58"/>
      <c r="J32" s="58"/>
      <c r="K32" s="59">
        <f t="shared" si="1"/>
        <v>0</v>
      </c>
      <c r="L32" s="58"/>
      <c r="M32" s="59">
        <f t="shared" si="0"/>
        <v>0</v>
      </c>
    </row>
    <row r="33" spans="1:13" s="17" customFormat="1" ht="35.25" customHeight="1" thickBot="1">
      <c r="A33" s="27" t="s">
        <v>98</v>
      </c>
      <c r="B33" s="29" t="s">
        <v>105</v>
      </c>
      <c r="C33" s="58"/>
      <c r="D33" s="58"/>
      <c r="E33" s="58"/>
      <c r="F33" s="58"/>
      <c r="G33" s="58"/>
      <c r="H33" s="58"/>
      <c r="I33" s="58"/>
      <c r="J33" s="58"/>
      <c r="K33" s="59">
        <f t="shared" si="1"/>
        <v>0</v>
      </c>
      <c r="L33" s="58"/>
      <c r="M33" s="59">
        <f t="shared" si="0"/>
        <v>0</v>
      </c>
    </row>
    <row r="34" spans="1:13" s="17" customFormat="1" ht="27" customHeight="1" thickBot="1">
      <c r="A34" s="27" t="s">
        <v>98</v>
      </c>
      <c r="B34" s="29" t="s">
        <v>106</v>
      </c>
      <c r="C34" s="58"/>
      <c r="D34" s="58"/>
      <c r="E34" s="58"/>
      <c r="F34" s="58"/>
      <c r="G34" s="58"/>
      <c r="H34" s="58"/>
      <c r="I34" s="58"/>
      <c r="J34" s="58">
        <v>-249924.527</v>
      </c>
      <c r="K34" s="59">
        <f t="shared" si="1"/>
        <v>-249924.527</v>
      </c>
      <c r="L34" s="58"/>
      <c r="M34" s="59">
        <f t="shared" si="0"/>
        <v>-249924.527</v>
      </c>
    </row>
    <row r="35" spans="1:13" s="17" customFormat="1" ht="26.25" customHeight="1" thickBot="1">
      <c r="A35" s="31"/>
      <c r="B35" s="32" t="s">
        <v>381</v>
      </c>
      <c r="C35" s="56">
        <f aca="true" t="shared" si="4" ref="C35:J35">+C13+C26+SUM(C27:C34)</f>
        <v>1712762</v>
      </c>
      <c r="D35" s="56">
        <f t="shared" si="4"/>
        <v>-38924</v>
      </c>
      <c r="E35" s="56">
        <f t="shared" si="4"/>
        <v>0</v>
      </c>
      <c r="F35" s="56">
        <f t="shared" si="4"/>
        <v>7754455.473</v>
      </c>
      <c r="G35" s="56">
        <f t="shared" si="4"/>
        <v>0</v>
      </c>
      <c r="H35" s="56">
        <f t="shared" si="4"/>
        <v>0</v>
      </c>
      <c r="I35" s="56">
        <f t="shared" si="4"/>
        <v>0</v>
      </c>
      <c r="J35" s="56">
        <f t="shared" si="4"/>
        <v>5024691.527</v>
      </c>
      <c r="K35" s="57">
        <f>+SUM(C35:J35)</f>
        <v>14452985</v>
      </c>
      <c r="L35" s="56">
        <f>+L13+L26+SUM(L27:L34)</f>
        <v>0</v>
      </c>
      <c r="M35" s="57">
        <f>+K35+L35</f>
        <v>14452985</v>
      </c>
    </row>
    <row r="36" spans="1:13" s="33" customFormat="1" ht="32.25" customHeight="1" thickBot="1">
      <c r="A36" s="31"/>
      <c r="B36" s="32" t="s">
        <v>382</v>
      </c>
      <c r="C36" s="56">
        <f>C35</f>
        <v>1712762</v>
      </c>
      <c r="D36" s="56">
        <f aca="true" t="shared" si="5" ref="D36:L36">D35</f>
        <v>-38924</v>
      </c>
      <c r="E36" s="56">
        <f t="shared" si="5"/>
        <v>0</v>
      </c>
      <c r="F36" s="56">
        <f>F35</f>
        <v>7754455.473</v>
      </c>
      <c r="G36" s="56">
        <f t="shared" si="5"/>
        <v>0</v>
      </c>
      <c r="H36" s="56">
        <f t="shared" si="5"/>
        <v>0</v>
      </c>
      <c r="I36" s="56">
        <f t="shared" si="5"/>
        <v>0</v>
      </c>
      <c r="J36" s="56">
        <v>5024691.277</v>
      </c>
      <c r="K36" s="57">
        <f>+SUM(C36:J36)</f>
        <v>14452984.75</v>
      </c>
      <c r="L36" s="56">
        <f t="shared" si="5"/>
        <v>0</v>
      </c>
      <c r="M36" s="57">
        <f>+K36+L36</f>
        <v>14452984.75</v>
      </c>
    </row>
    <row r="37" spans="1:13" s="17" customFormat="1" ht="39.75" customHeight="1" thickBot="1">
      <c r="A37" s="27" t="s">
        <v>79</v>
      </c>
      <c r="B37" s="29" t="s">
        <v>80</v>
      </c>
      <c r="C37" s="58"/>
      <c r="D37" s="58"/>
      <c r="E37" s="58"/>
      <c r="F37" s="58"/>
      <c r="G37" s="58"/>
      <c r="H37" s="58"/>
      <c r="I37" s="58"/>
      <c r="J37" s="58"/>
      <c r="K37" s="59">
        <f aca="true" t="shared" si="6" ref="K37:K57">+SUM(C37:J37)</f>
        <v>0</v>
      </c>
      <c r="L37" s="58"/>
      <c r="M37" s="59">
        <f>+K37+L37</f>
        <v>0</v>
      </c>
    </row>
    <row r="38" spans="1:13" s="17" customFormat="1" ht="34.5" customHeight="1" thickBot="1">
      <c r="A38" s="27" t="s">
        <v>79</v>
      </c>
      <c r="B38" s="29" t="s">
        <v>81</v>
      </c>
      <c r="C38" s="58"/>
      <c r="D38" s="58"/>
      <c r="E38" s="58"/>
      <c r="F38" s="58"/>
      <c r="G38" s="58"/>
      <c r="H38" s="58"/>
      <c r="I38" s="58"/>
      <c r="J38" s="58"/>
      <c r="K38" s="59">
        <f t="shared" si="6"/>
        <v>0</v>
      </c>
      <c r="L38" s="58"/>
      <c r="M38" s="59">
        <f aca="true" t="shared" si="7" ref="M38:M57">+K38+L38</f>
        <v>0</v>
      </c>
    </row>
    <row r="39" spans="1:13" s="17" customFormat="1" ht="51.75" customHeight="1" thickBot="1">
      <c r="A39" s="27" t="s">
        <v>79</v>
      </c>
      <c r="B39" s="29" t="s">
        <v>82</v>
      </c>
      <c r="C39" s="58"/>
      <c r="D39" s="58"/>
      <c r="E39" s="58"/>
      <c r="F39" s="58"/>
      <c r="G39" s="58"/>
      <c r="H39" s="58"/>
      <c r="I39" s="58"/>
      <c r="J39" s="58"/>
      <c r="K39" s="59">
        <f t="shared" si="6"/>
        <v>0</v>
      </c>
      <c r="L39" s="58"/>
      <c r="M39" s="59">
        <f t="shared" si="7"/>
        <v>0</v>
      </c>
    </row>
    <row r="40" spans="1:13" s="17" customFormat="1" ht="29.25" customHeight="1" thickBot="1">
      <c r="A40" s="27" t="s">
        <v>83</v>
      </c>
      <c r="B40" s="29" t="s">
        <v>84</v>
      </c>
      <c r="C40" s="58"/>
      <c r="D40" s="58"/>
      <c r="E40" s="58"/>
      <c r="F40" s="58"/>
      <c r="G40" s="58"/>
      <c r="H40" s="58"/>
      <c r="I40" s="58"/>
      <c r="J40" s="58"/>
      <c r="K40" s="59">
        <f t="shared" si="6"/>
        <v>0</v>
      </c>
      <c r="L40" s="58"/>
      <c r="M40" s="59">
        <f t="shared" si="7"/>
        <v>0</v>
      </c>
    </row>
    <row r="41" spans="1:13" s="17" customFormat="1" ht="29.25" customHeight="1" thickBot="1">
      <c r="A41" s="27" t="s">
        <v>79</v>
      </c>
      <c r="B41" s="29" t="s">
        <v>85</v>
      </c>
      <c r="C41" s="58"/>
      <c r="D41" s="58"/>
      <c r="E41" s="58"/>
      <c r="F41" s="58"/>
      <c r="G41" s="58"/>
      <c r="H41" s="58"/>
      <c r="I41" s="58"/>
      <c r="J41" s="58"/>
      <c r="K41" s="59">
        <f t="shared" si="6"/>
        <v>0</v>
      </c>
      <c r="L41" s="58"/>
      <c r="M41" s="59">
        <f t="shared" si="7"/>
        <v>0</v>
      </c>
    </row>
    <row r="42" spans="1:13" s="17" customFormat="1" ht="40.5" customHeight="1" thickBot="1">
      <c r="A42" s="27" t="s">
        <v>79</v>
      </c>
      <c r="B42" s="28" t="s">
        <v>86</v>
      </c>
      <c r="C42" s="59">
        <f aca="true" t="shared" si="8" ref="C42:J42">+SUM(C37:C41)</f>
        <v>0</v>
      </c>
      <c r="D42" s="59">
        <f t="shared" si="8"/>
        <v>0</v>
      </c>
      <c r="E42" s="59">
        <f t="shared" si="8"/>
        <v>0</v>
      </c>
      <c r="F42" s="59">
        <f>+SUM(F37:F41)</f>
        <v>0</v>
      </c>
      <c r="G42" s="59">
        <f t="shared" si="8"/>
        <v>0</v>
      </c>
      <c r="H42" s="59">
        <f t="shared" si="8"/>
        <v>0</v>
      </c>
      <c r="I42" s="59">
        <f t="shared" si="8"/>
        <v>0</v>
      </c>
      <c r="J42" s="59">
        <f t="shared" si="8"/>
        <v>0</v>
      </c>
      <c r="K42" s="59">
        <f t="shared" si="6"/>
        <v>0</v>
      </c>
      <c r="L42" s="59">
        <f>+SUM(L37:L41)</f>
        <v>0</v>
      </c>
      <c r="M42" s="59">
        <f t="shared" si="7"/>
        <v>0</v>
      </c>
    </row>
    <row r="43" spans="1:13" s="17" customFormat="1" ht="27.75" customHeight="1" thickBot="1">
      <c r="A43" s="27"/>
      <c r="B43" s="29" t="s">
        <v>87</v>
      </c>
      <c r="C43" s="58"/>
      <c r="D43" s="58"/>
      <c r="E43" s="58"/>
      <c r="F43" s="58"/>
      <c r="G43" s="58"/>
      <c r="H43" s="58"/>
      <c r="I43" s="58"/>
      <c r="J43" s="58"/>
      <c r="K43" s="59">
        <f t="shared" si="6"/>
        <v>0</v>
      </c>
      <c r="L43" s="58"/>
      <c r="M43" s="59">
        <f t="shared" si="7"/>
        <v>0</v>
      </c>
    </row>
    <row r="44" spans="1:13" s="17" customFormat="1" ht="56.25" customHeight="1" thickBot="1">
      <c r="A44" s="27" t="s">
        <v>88</v>
      </c>
      <c r="B44" s="29" t="s">
        <v>89</v>
      </c>
      <c r="C44" s="58"/>
      <c r="D44" s="58"/>
      <c r="E44" s="58"/>
      <c r="F44" s="58"/>
      <c r="G44" s="58"/>
      <c r="H44" s="58"/>
      <c r="I44" s="58"/>
      <c r="J44" s="58"/>
      <c r="K44" s="59">
        <f t="shared" si="6"/>
        <v>0</v>
      </c>
      <c r="L44" s="58"/>
      <c r="M44" s="59">
        <f t="shared" si="7"/>
        <v>0</v>
      </c>
    </row>
    <row r="45" spans="1:13" s="17" customFormat="1" ht="70.5" customHeight="1" thickBot="1">
      <c r="A45" s="27" t="s">
        <v>90</v>
      </c>
      <c r="B45" s="29" t="s">
        <v>91</v>
      </c>
      <c r="C45" s="58"/>
      <c r="D45" s="58"/>
      <c r="E45" s="58"/>
      <c r="F45" s="58"/>
      <c r="G45" s="58"/>
      <c r="H45" s="58"/>
      <c r="I45" s="58"/>
      <c r="J45" s="58"/>
      <c r="K45" s="59">
        <f t="shared" si="6"/>
        <v>0</v>
      </c>
      <c r="L45" s="58"/>
      <c r="M45" s="59">
        <f t="shared" si="7"/>
        <v>0</v>
      </c>
    </row>
    <row r="46" spans="1:13" s="17" customFormat="1" ht="37.5" customHeight="1" thickBot="1">
      <c r="A46" s="34"/>
      <c r="B46" s="29" t="s">
        <v>92</v>
      </c>
      <c r="C46" s="58"/>
      <c r="D46" s="58"/>
      <c r="E46" s="58"/>
      <c r="F46" s="58">
        <v>-345004.676</v>
      </c>
      <c r="G46" s="58"/>
      <c r="H46" s="58"/>
      <c r="I46" s="58"/>
      <c r="J46" s="58">
        <v>345004.676</v>
      </c>
      <c r="K46" s="59"/>
      <c r="L46" s="58"/>
      <c r="M46" s="59"/>
    </row>
    <row r="47" spans="1:13" s="17" customFormat="1" ht="15" thickBot="1">
      <c r="A47" s="34"/>
      <c r="B47" s="29" t="s">
        <v>93</v>
      </c>
      <c r="C47" s="58"/>
      <c r="D47" s="58"/>
      <c r="E47" s="58"/>
      <c r="F47" s="58"/>
      <c r="G47" s="58"/>
      <c r="H47" s="58"/>
      <c r="I47" s="58"/>
      <c r="J47" s="58"/>
      <c r="K47" s="59">
        <f t="shared" si="6"/>
        <v>0</v>
      </c>
      <c r="L47" s="58"/>
      <c r="M47" s="59">
        <f t="shared" si="7"/>
        <v>0</v>
      </c>
    </row>
    <row r="48" spans="1:13" s="17" customFormat="1" ht="26.25" customHeight="1" thickBot="1">
      <c r="A48" s="27" t="s">
        <v>94</v>
      </c>
      <c r="B48" s="30" t="s">
        <v>95</v>
      </c>
      <c r="C48" s="58"/>
      <c r="D48" s="58"/>
      <c r="E48" s="58"/>
      <c r="F48" s="58"/>
      <c r="G48" s="58"/>
      <c r="H48" s="58"/>
      <c r="I48" s="58"/>
      <c r="J48" s="60">
        <f>560370.5216+87353.588</f>
        <v>647724.1096</v>
      </c>
      <c r="K48" s="59">
        <f t="shared" si="6"/>
        <v>647724.1096</v>
      </c>
      <c r="L48" s="58"/>
      <c r="M48" s="59">
        <f t="shared" si="7"/>
        <v>647724.1096</v>
      </c>
    </row>
    <row r="49" spans="1:13" s="17" customFormat="1" ht="23.25" thickBot="1">
      <c r="A49" s="27" t="s">
        <v>96</v>
      </c>
      <c r="B49" s="28" t="s">
        <v>97</v>
      </c>
      <c r="C49" s="58">
        <f aca="true" t="shared" si="9" ref="C49:I49">+SUM(C42:C48)</f>
        <v>0</v>
      </c>
      <c r="D49" s="58">
        <f t="shared" si="9"/>
        <v>0</v>
      </c>
      <c r="E49" s="58">
        <f t="shared" si="9"/>
        <v>0</v>
      </c>
      <c r="F49" s="58">
        <f>+SUM(F42:F48)</f>
        <v>-345004.676</v>
      </c>
      <c r="G49" s="58">
        <f t="shared" si="9"/>
        <v>0</v>
      </c>
      <c r="H49" s="58">
        <f t="shared" si="9"/>
        <v>0</v>
      </c>
      <c r="I49" s="58">
        <f t="shared" si="9"/>
        <v>0</v>
      </c>
      <c r="J49" s="60">
        <f>+SUM(J42:J48)</f>
        <v>992728.7856</v>
      </c>
      <c r="K49" s="59">
        <f>+SUM(C49:J49)</f>
        <v>647724.1096</v>
      </c>
      <c r="L49" s="58">
        <f>+SUM(L42:L48)</f>
        <v>0</v>
      </c>
      <c r="M49" s="59">
        <f>+K49+L49</f>
        <v>647724.1096</v>
      </c>
    </row>
    <row r="50" spans="1:13" s="17" customFormat="1" ht="25.5" customHeight="1" thickBot="1">
      <c r="A50" s="27" t="s">
        <v>98</v>
      </c>
      <c r="B50" s="29" t="s">
        <v>99</v>
      </c>
      <c r="C50" s="58"/>
      <c r="D50" s="58"/>
      <c r="E50" s="58"/>
      <c r="F50" s="58"/>
      <c r="G50" s="58"/>
      <c r="H50" s="58"/>
      <c r="I50" s="58"/>
      <c r="J50" s="58"/>
      <c r="K50" s="59">
        <f t="shared" si="6"/>
        <v>0</v>
      </c>
      <c r="L50" s="58"/>
      <c r="M50" s="59">
        <f t="shared" si="7"/>
        <v>0</v>
      </c>
    </row>
    <row r="51" spans="1:13" s="17" customFormat="1" ht="25.5" customHeight="1" thickBot="1">
      <c r="A51" s="27"/>
      <c r="B51" s="29" t="s">
        <v>100</v>
      </c>
      <c r="C51" s="58"/>
      <c r="D51" s="58"/>
      <c r="E51" s="58"/>
      <c r="F51" s="58"/>
      <c r="G51" s="58"/>
      <c r="H51" s="58"/>
      <c r="I51" s="58"/>
      <c r="J51" s="58"/>
      <c r="K51" s="59">
        <f t="shared" si="6"/>
        <v>0</v>
      </c>
      <c r="L51" s="58"/>
      <c r="M51" s="59">
        <f t="shared" si="7"/>
        <v>0</v>
      </c>
    </row>
    <row r="52" spans="1:13" s="17" customFormat="1" ht="27" customHeight="1" thickBot="1">
      <c r="A52" s="27" t="s">
        <v>98</v>
      </c>
      <c r="B52" s="29" t="s">
        <v>101</v>
      </c>
      <c r="C52" s="58"/>
      <c r="D52" s="58"/>
      <c r="E52" s="58"/>
      <c r="F52" s="58"/>
      <c r="G52" s="58"/>
      <c r="H52" s="58"/>
      <c r="I52" s="58"/>
      <c r="J52" s="58"/>
      <c r="K52" s="59">
        <f t="shared" si="6"/>
        <v>0</v>
      </c>
      <c r="L52" s="58"/>
      <c r="M52" s="59">
        <f t="shared" si="7"/>
        <v>0</v>
      </c>
    </row>
    <row r="53" spans="1:13" s="17" customFormat="1" ht="23.25" customHeight="1" thickBot="1">
      <c r="A53" s="27" t="s">
        <v>98</v>
      </c>
      <c r="B53" s="29" t="s">
        <v>102</v>
      </c>
      <c r="C53" s="58"/>
      <c r="D53" s="58"/>
      <c r="E53" s="58"/>
      <c r="F53" s="58"/>
      <c r="G53" s="58"/>
      <c r="H53" s="58"/>
      <c r="I53" s="58"/>
      <c r="J53" s="58"/>
      <c r="K53" s="59">
        <f t="shared" si="6"/>
        <v>0</v>
      </c>
      <c r="L53" s="58"/>
      <c r="M53" s="59">
        <f t="shared" si="7"/>
        <v>0</v>
      </c>
    </row>
    <row r="54" spans="1:13" s="17" customFormat="1" ht="27.75" customHeight="1" thickBot="1">
      <c r="A54" s="27" t="s">
        <v>98</v>
      </c>
      <c r="B54" s="29" t="s">
        <v>103</v>
      </c>
      <c r="C54" s="58"/>
      <c r="D54" s="58"/>
      <c r="E54" s="58"/>
      <c r="F54" s="58"/>
      <c r="G54" s="58"/>
      <c r="H54" s="58"/>
      <c r="I54" s="58"/>
      <c r="J54" s="58"/>
      <c r="K54" s="59">
        <f t="shared" si="6"/>
        <v>0</v>
      </c>
      <c r="L54" s="58"/>
      <c r="M54" s="59">
        <f t="shared" si="7"/>
        <v>0</v>
      </c>
    </row>
    <row r="55" spans="1:13" s="17" customFormat="1" ht="25.5" customHeight="1" thickBot="1">
      <c r="A55" s="27"/>
      <c r="B55" s="29" t="s">
        <v>104</v>
      </c>
      <c r="C55" s="58"/>
      <c r="D55" s="58"/>
      <c r="E55" s="58"/>
      <c r="F55" s="58"/>
      <c r="G55" s="58"/>
      <c r="H55" s="58"/>
      <c r="I55" s="58"/>
      <c r="J55" s="58"/>
      <c r="K55" s="59">
        <f t="shared" si="6"/>
        <v>0</v>
      </c>
      <c r="L55" s="58"/>
      <c r="M55" s="59">
        <f t="shared" si="7"/>
        <v>0</v>
      </c>
    </row>
    <row r="56" spans="1:13" s="17" customFormat="1" ht="35.25" customHeight="1" thickBot="1">
      <c r="A56" s="27" t="s">
        <v>98</v>
      </c>
      <c r="B56" s="29" t="s">
        <v>105</v>
      </c>
      <c r="C56" s="58"/>
      <c r="D56" s="58"/>
      <c r="E56" s="58"/>
      <c r="F56" s="58"/>
      <c r="G56" s="58"/>
      <c r="H56" s="58"/>
      <c r="I56" s="58"/>
      <c r="J56" s="58"/>
      <c r="K56" s="59">
        <f t="shared" si="6"/>
        <v>0</v>
      </c>
      <c r="L56" s="58"/>
      <c r="M56" s="59">
        <f t="shared" si="7"/>
        <v>0</v>
      </c>
    </row>
    <row r="57" spans="1:13" s="17" customFormat="1" ht="27" customHeight="1" thickBot="1">
      <c r="A57" s="27" t="s">
        <v>98</v>
      </c>
      <c r="B57" s="29" t="s">
        <v>106</v>
      </c>
      <c r="C57" s="58"/>
      <c r="D57" s="58"/>
      <c r="E57" s="58"/>
      <c r="F57" s="58"/>
      <c r="G57" s="58"/>
      <c r="H57" s="58"/>
      <c r="I57" s="58"/>
      <c r="J57" s="58">
        <v>-428420</v>
      </c>
      <c r="K57" s="59">
        <f t="shared" si="6"/>
        <v>-428420</v>
      </c>
      <c r="L57" s="58"/>
      <c r="M57" s="59">
        <f t="shared" si="7"/>
        <v>-428420</v>
      </c>
    </row>
    <row r="58" spans="1:13" s="17" customFormat="1" ht="20.25" customHeight="1" thickBot="1">
      <c r="A58" s="27"/>
      <c r="B58" s="35" t="s">
        <v>107</v>
      </c>
      <c r="C58" s="58">
        <f aca="true" t="shared" si="10" ref="C58:I58">+C36+C49+SUM(C50:C57)</f>
        <v>1712762</v>
      </c>
      <c r="D58" s="58">
        <f t="shared" si="10"/>
        <v>-38924</v>
      </c>
      <c r="E58" s="58">
        <f t="shared" si="10"/>
        <v>0</v>
      </c>
      <c r="F58" s="58">
        <f>+F36+F49+SUM(F50:F57)</f>
        <v>7409450.797</v>
      </c>
      <c r="G58" s="58">
        <f t="shared" si="10"/>
        <v>0</v>
      </c>
      <c r="H58" s="58">
        <f t="shared" si="10"/>
        <v>0</v>
      </c>
      <c r="I58" s="58">
        <f t="shared" si="10"/>
        <v>0</v>
      </c>
      <c r="J58" s="61">
        <f>+J36+J49+SUM(J50:J57)</f>
        <v>5589000.0626</v>
      </c>
      <c r="K58" s="59">
        <f>+SUM(C58:J58)</f>
        <v>14672288.8596</v>
      </c>
      <c r="L58" s="58">
        <f>+L35+L49+SUM(L50:L57)</f>
        <v>0</v>
      </c>
      <c r="M58" s="59">
        <f>+K58+L58</f>
        <v>14672288.8596</v>
      </c>
    </row>
    <row r="59" spans="1:13" s="17" customFormat="1" ht="15">
      <c r="A59" s="36"/>
      <c r="B59" s="37"/>
      <c r="C59" s="38"/>
      <c r="D59" s="38"/>
      <c r="E59" s="38"/>
      <c r="F59" s="38"/>
      <c r="G59" s="38"/>
      <c r="H59" s="38"/>
      <c r="I59" s="38"/>
      <c r="J59" s="39"/>
      <c r="K59" s="40"/>
      <c r="L59" s="38"/>
      <c r="M59" s="41"/>
    </row>
    <row r="60" spans="1:13" s="17" customFormat="1" ht="15">
      <c r="A60" s="36"/>
      <c r="B60" s="42"/>
      <c r="C60" s="38"/>
      <c r="D60" s="38"/>
      <c r="E60" s="38"/>
      <c r="F60" s="38"/>
      <c r="G60" s="38"/>
      <c r="H60" s="38"/>
      <c r="I60" s="38"/>
      <c r="J60" s="39"/>
      <c r="K60" s="40"/>
      <c r="L60" s="38"/>
      <c r="M60" s="41"/>
    </row>
    <row r="61" s="17" customFormat="1" ht="15">
      <c r="B61" s="43" t="s">
        <v>63</v>
      </c>
    </row>
    <row r="62" s="17" customFormat="1" ht="12.75">
      <c r="B62" s="44"/>
    </row>
    <row r="63" s="17" customFormat="1" ht="15">
      <c r="B63" s="43" t="s">
        <v>64</v>
      </c>
    </row>
  </sheetData>
  <sheetProtection/>
  <mergeCells count="13">
    <mergeCell ref="I10:I11"/>
    <mergeCell ref="J10:J11"/>
    <mergeCell ref="K10:K11"/>
    <mergeCell ref="L10:L11"/>
    <mergeCell ref="M10:M11"/>
    <mergeCell ref="B8:H8"/>
    <mergeCell ref="B10:B11"/>
    <mergeCell ref="C10:C11"/>
    <mergeCell ref="D10:D11"/>
    <mergeCell ref="E10:E11"/>
    <mergeCell ref="F10:F11"/>
    <mergeCell ref="G10:G11"/>
    <mergeCell ref="H10:H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3"/>
  <sheetViews>
    <sheetView zoomScalePageLayoutView="0" workbookViewId="0" topLeftCell="A121">
      <selection activeCell="F37" sqref="F37"/>
    </sheetView>
  </sheetViews>
  <sheetFormatPr defaultColWidth="8.75390625" defaultRowHeight="12.75" outlineLevelRow="2"/>
  <cols>
    <col min="1" max="1" width="30.875" style="89" customWidth="1"/>
    <col min="2" max="2" width="24.25390625" style="89" customWidth="1"/>
    <col min="3" max="5" width="16.125" style="89" customWidth="1"/>
    <col min="6" max="6" width="22.00390625" style="89" customWidth="1"/>
    <col min="7" max="7" width="16.125" style="89" customWidth="1"/>
    <col min="8" max="8" width="8.75390625" style="0" customWidth="1"/>
    <col min="9" max="9" width="15.00390625" style="0" bestFit="1" customWidth="1"/>
    <col min="10" max="10" width="8.75390625" style="0" customWidth="1"/>
    <col min="11" max="11" width="13.625" style="0" bestFit="1" customWidth="1"/>
  </cols>
  <sheetData>
    <row r="1" ht="12.75" customHeight="1">
      <c r="A1" s="88" t="s">
        <v>195</v>
      </c>
    </row>
    <row r="2" ht="15.75" customHeight="1">
      <c r="A2" s="90" t="s">
        <v>383</v>
      </c>
    </row>
    <row r="3" spans="1:2" ht="10.5" customHeight="1">
      <c r="A3" s="89" t="s">
        <v>196</v>
      </c>
      <c r="B3" s="89" t="s">
        <v>197</v>
      </c>
    </row>
    <row r="4" spans="1:7" ht="12" customHeight="1">
      <c r="A4" s="377" t="s">
        <v>198</v>
      </c>
      <c r="B4" s="378" t="s">
        <v>199</v>
      </c>
      <c r="C4" s="378"/>
      <c r="D4" s="378" t="s">
        <v>200</v>
      </c>
      <c r="E4" s="378"/>
      <c r="F4" s="378" t="s">
        <v>201</v>
      </c>
      <c r="G4" s="378"/>
    </row>
    <row r="5" spans="1:7" ht="12" customHeight="1">
      <c r="A5" s="377"/>
      <c r="B5" s="105" t="s">
        <v>191</v>
      </c>
      <c r="C5" s="105" t="s">
        <v>192</v>
      </c>
      <c r="D5" s="105" t="s">
        <v>191</v>
      </c>
      <c r="E5" s="105" t="s">
        <v>192</v>
      </c>
      <c r="F5" s="105" t="s">
        <v>191</v>
      </c>
      <c r="G5" s="105" t="s">
        <v>192</v>
      </c>
    </row>
    <row r="6" spans="1:7" ht="12" customHeight="1">
      <c r="A6" s="106" t="s">
        <v>202</v>
      </c>
      <c r="B6" s="107">
        <v>1720310395.96</v>
      </c>
      <c r="C6" s="108"/>
      <c r="D6" s="107">
        <v>11819384176.95</v>
      </c>
      <c r="E6" s="107">
        <v>12901812427.8</v>
      </c>
      <c r="F6" s="107">
        <v>637882145.11</v>
      </c>
      <c r="G6" s="108"/>
    </row>
    <row r="7" spans="1:7" ht="24" customHeight="1" outlineLevel="1">
      <c r="A7" s="109" t="s">
        <v>203</v>
      </c>
      <c r="B7" s="110">
        <v>272999.13</v>
      </c>
      <c r="C7" s="111"/>
      <c r="D7" s="110">
        <v>32617736.32</v>
      </c>
      <c r="E7" s="110">
        <v>31934167.21</v>
      </c>
      <c r="F7" s="110">
        <v>956568.24</v>
      </c>
      <c r="G7" s="111"/>
    </row>
    <row r="8" spans="1:7" ht="24" customHeight="1" outlineLevel="1">
      <c r="A8" s="112" t="s">
        <v>204</v>
      </c>
      <c r="B8" s="113">
        <v>19156927.68</v>
      </c>
      <c r="C8" s="114"/>
      <c r="D8" s="114"/>
      <c r="E8" s="113">
        <v>17156927.68</v>
      </c>
      <c r="F8" s="113">
        <v>2000000</v>
      </c>
      <c r="G8" s="114"/>
    </row>
    <row r="9" spans="1:7" ht="24" customHeight="1" outlineLevel="2">
      <c r="A9" s="115" t="s">
        <v>205</v>
      </c>
      <c r="B9" s="110">
        <v>19156927.68</v>
      </c>
      <c r="C9" s="111"/>
      <c r="D9" s="111"/>
      <c r="E9" s="110">
        <v>17156927.68</v>
      </c>
      <c r="F9" s="110">
        <v>2000000</v>
      </c>
      <c r="G9" s="111"/>
    </row>
    <row r="10" spans="1:7" ht="24" customHeight="1" outlineLevel="1">
      <c r="A10" s="112" t="s">
        <v>206</v>
      </c>
      <c r="B10" s="113">
        <v>1700880469.15</v>
      </c>
      <c r="C10" s="114"/>
      <c r="D10" s="113">
        <v>8861766440.63</v>
      </c>
      <c r="E10" s="113">
        <v>9927721332.91</v>
      </c>
      <c r="F10" s="113">
        <v>634925576.87</v>
      </c>
      <c r="G10" s="114"/>
    </row>
    <row r="11" spans="1:7" ht="24" customHeight="1" outlineLevel="2">
      <c r="A11" s="115" t="s">
        <v>207</v>
      </c>
      <c r="B11" s="110">
        <v>1700880469.15</v>
      </c>
      <c r="C11" s="111"/>
      <c r="D11" s="110">
        <v>8861766440.63</v>
      </c>
      <c r="E11" s="110">
        <v>9927721332.91</v>
      </c>
      <c r="F11" s="110">
        <v>634925576.87</v>
      </c>
      <c r="G11" s="111"/>
    </row>
    <row r="12" spans="1:7" ht="24" customHeight="1" outlineLevel="1">
      <c r="A12" s="112" t="s">
        <v>384</v>
      </c>
      <c r="B12" s="114"/>
      <c r="C12" s="114"/>
      <c r="D12" s="113">
        <v>2925000000</v>
      </c>
      <c r="E12" s="113">
        <v>2925000000</v>
      </c>
      <c r="F12" s="114"/>
      <c r="G12" s="114"/>
    </row>
    <row r="13" spans="1:7" ht="36" customHeight="1" outlineLevel="2">
      <c r="A13" s="115" t="s">
        <v>385</v>
      </c>
      <c r="B13" s="111"/>
      <c r="C13" s="111"/>
      <c r="D13" s="110">
        <v>2925000000</v>
      </c>
      <c r="E13" s="110">
        <v>2925000000</v>
      </c>
      <c r="F13" s="111"/>
      <c r="G13" s="111"/>
    </row>
    <row r="14" spans="1:7" ht="24" customHeight="1">
      <c r="A14" s="106" t="s">
        <v>208</v>
      </c>
      <c r="B14" s="107">
        <v>218607842.51</v>
      </c>
      <c r="C14" s="108"/>
      <c r="D14" s="107">
        <v>5275628379.14</v>
      </c>
      <c r="E14" s="107">
        <v>5270352452.490001</v>
      </c>
      <c r="F14" s="107">
        <v>223883769.16</v>
      </c>
      <c r="G14" s="108"/>
    </row>
    <row r="15" spans="1:7" ht="24" customHeight="1" outlineLevel="1">
      <c r="A15" s="109" t="s">
        <v>209</v>
      </c>
      <c r="B15" s="110">
        <v>17516139.74</v>
      </c>
      <c r="C15" s="111"/>
      <c r="D15" s="110">
        <v>26356056.11</v>
      </c>
      <c r="E15" s="110">
        <v>13877098.65</v>
      </c>
      <c r="F15" s="110">
        <v>29995097.2</v>
      </c>
      <c r="G15" s="111"/>
    </row>
    <row r="16" spans="1:7" ht="24" customHeight="1" outlineLevel="1">
      <c r="A16" s="109" t="s">
        <v>210</v>
      </c>
      <c r="B16" s="111"/>
      <c r="C16" s="111"/>
      <c r="D16" s="110">
        <v>68592</v>
      </c>
      <c r="E16" s="110">
        <v>67979.57</v>
      </c>
      <c r="F16" s="116">
        <v>612.43</v>
      </c>
      <c r="G16" s="111"/>
    </row>
    <row r="17" spans="1:7" ht="36" customHeight="1" outlineLevel="1">
      <c r="A17" s="112" t="s">
        <v>211</v>
      </c>
      <c r="B17" s="113">
        <v>204392277.75</v>
      </c>
      <c r="C17" s="114"/>
      <c r="D17" s="113">
        <v>5070900739.990001</v>
      </c>
      <c r="E17" s="113">
        <v>5070285442.09</v>
      </c>
      <c r="F17" s="113">
        <v>205007575.65</v>
      </c>
      <c r="G17" s="114"/>
    </row>
    <row r="18" spans="1:7" ht="36" customHeight="1" outlineLevel="2">
      <c r="A18" s="115" t="s">
        <v>212</v>
      </c>
      <c r="B18" s="110">
        <v>204392277.75</v>
      </c>
      <c r="C18" s="111"/>
      <c r="D18" s="110">
        <v>5070900739.990001</v>
      </c>
      <c r="E18" s="110">
        <v>5070285442.09</v>
      </c>
      <c r="F18" s="110">
        <v>205007575.65</v>
      </c>
      <c r="G18" s="111"/>
    </row>
    <row r="19" spans="1:7" ht="36" customHeight="1" outlineLevel="1">
      <c r="A19" s="112" t="s">
        <v>213</v>
      </c>
      <c r="B19" s="113">
        <v>1351187.53</v>
      </c>
      <c r="C19" s="114"/>
      <c r="D19" s="113">
        <v>39594361.95</v>
      </c>
      <c r="E19" s="113">
        <v>39750092.39</v>
      </c>
      <c r="F19" s="113">
        <v>1195457.09</v>
      </c>
      <c r="G19" s="114"/>
    </row>
    <row r="20" spans="1:7" ht="36" customHeight="1" outlineLevel="2">
      <c r="A20" s="115" t="s">
        <v>214</v>
      </c>
      <c r="B20" s="110">
        <v>1200341.61</v>
      </c>
      <c r="C20" s="111"/>
      <c r="D20" s="110">
        <v>39049222.95</v>
      </c>
      <c r="E20" s="110">
        <v>39545084.56</v>
      </c>
      <c r="F20" s="110">
        <v>704480</v>
      </c>
      <c r="G20" s="111"/>
    </row>
    <row r="21" spans="1:7" ht="36" customHeight="1" outlineLevel="2">
      <c r="A21" s="115" t="s">
        <v>215</v>
      </c>
      <c r="B21" s="110">
        <v>150845.92</v>
      </c>
      <c r="C21" s="111"/>
      <c r="D21" s="110">
        <v>391282</v>
      </c>
      <c r="E21" s="110">
        <v>51150.83</v>
      </c>
      <c r="F21" s="110">
        <v>490977.09</v>
      </c>
      <c r="G21" s="111"/>
    </row>
    <row r="22" spans="1:7" ht="36" customHeight="1" outlineLevel="2">
      <c r="A22" s="115" t="s">
        <v>216</v>
      </c>
      <c r="B22" s="111"/>
      <c r="C22" s="111"/>
      <c r="D22" s="110">
        <v>153857</v>
      </c>
      <c r="E22" s="110">
        <v>153857</v>
      </c>
      <c r="F22" s="111"/>
      <c r="G22" s="111"/>
    </row>
    <row r="23" spans="1:7" ht="24" customHeight="1" outlineLevel="1">
      <c r="A23" s="112" t="s">
        <v>386</v>
      </c>
      <c r="B23" s="114"/>
      <c r="C23" s="114"/>
      <c r="D23" s="113">
        <v>874791.67</v>
      </c>
      <c r="E23" s="113">
        <v>874791.67</v>
      </c>
      <c r="F23" s="114"/>
      <c r="G23" s="114"/>
    </row>
    <row r="24" spans="1:11" ht="36" customHeight="1" outlineLevel="2">
      <c r="A24" s="115" t="s">
        <v>387</v>
      </c>
      <c r="B24" s="111"/>
      <c r="C24" s="111"/>
      <c r="D24" s="110">
        <v>874791.67</v>
      </c>
      <c r="E24" s="110">
        <v>874791.67</v>
      </c>
      <c r="F24" s="111"/>
      <c r="G24" s="111"/>
      <c r="J24">
        <v>3040</v>
      </c>
      <c r="K24" s="51">
        <f>G85</f>
        <v>199519210.42</v>
      </c>
    </row>
    <row r="25" spans="1:11" ht="24" customHeight="1" outlineLevel="1">
      <c r="A25" s="109" t="s">
        <v>217</v>
      </c>
      <c r="B25" s="110">
        <v>24581809.39</v>
      </c>
      <c r="C25" s="111"/>
      <c r="D25" s="110">
        <v>137833837.42</v>
      </c>
      <c r="E25" s="110">
        <v>134962908.63</v>
      </c>
      <c r="F25" s="110">
        <v>27452738.18</v>
      </c>
      <c r="G25" s="111"/>
      <c r="J25">
        <v>3380</v>
      </c>
      <c r="K25" s="51">
        <f>G106</f>
        <v>16426667.67</v>
      </c>
    </row>
    <row r="26" spans="1:11" ht="24" customHeight="1" outlineLevel="2">
      <c r="A26" s="115" t="s">
        <v>217</v>
      </c>
      <c r="B26" s="110">
        <v>12821531.16</v>
      </c>
      <c r="C26" s="111"/>
      <c r="D26" s="110">
        <v>134760090.95</v>
      </c>
      <c r="E26" s="110">
        <v>134962908.91</v>
      </c>
      <c r="F26" s="110">
        <v>12618713.2</v>
      </c>
      <c r="G26" s="111"/>
      <c r="J26">
        <v>2184</v>
      </c>
      <c r="K26">
        <v>-1799809.9</v>
      </c>
    </row>
    <row r="27" spans="1:7" ht="24" customHeight="1" outlineLevel="2">
      <c r="A27" s="115" t="s">
        <v>368</v>
      </c>
      <c r="B27" s="110">
        <v>9372119.23</v>
      </c>
      <c r="C27" s="111"/>
      <c r="D27" s="110">
        <v>3073746.47</v>
      </c>
      <c r="E27" s="111"/>
      <c r="F27" s="110">
        <v>12445865.7</v>
      </c>
      <c r="G27" s="111"/>
    </row>
    <row r="28" spans="1:11" ht="24" customHeight="1" outlineLevel="2">
      <c r="A28" s="115" t="s">
        <v>218</v>
      </c>
      <c r="B28" s="110">
        <v>2388159</v>
      </c>
      <c r="C28" s="111"/>
      <c r="D28" s="111"/>
      <c r="E28" s="117">
        <v>-0.28</v>
      </c>
      <c r="F28" s="110">
        <v>2388159.28</v>
      </c>
      <c r="G28" s="111"/>
      <c r="K28" s="51">
        <f>SUM(K24:K27)</f>
        <v>214146068.18999997</v>
      </c>
    </row>
    <row r="29" spans="1:7" ht="24" customHeight="1" outlineLevel="1">
      <c r="A29" s="112" t="s">
        <v>219</v>
      </c>
      <c r="B29" s="114"/>
      <c r="C29" s="113">
        <v>29233571.9</v>
      </c>
      <c r="D29" s="114"/>
      <c r="E29" s="113">
        <v>10534139.49</v>
      </c>
      <c r="F29" s="114"/>
      <c r="G29" s="113">
        <v>39767711.39</v>
      </c>
    </row>
    <row r="30" spans="1:7" ht="58.5" customHeight="1" outlineLevel="2">
      <c r="A30" s="115" t="s">
        <v>362</v>
      </c>
      <c r="B30" s="111"/>
      <c r="C30" s="110">
        <v>22769018.21</v>
      </c>
      <c r="D30" s="111"/>
      <c r="E30" s="110">
        <v>10534139.49</v>
      </c>
      <c r="F30" s="111"/>
      <c r="G30" s="110">
        <v>33303157.7</v>
      </c>
    </row>
    <row r="31" spans="1:7" ht="58.5" customHeight="1" outlineLevel="2">
      <c r="A31" s="115" t="s">
        <v>363</v>
      </c>
      <c r="B31" s="111"/>
      <c r="C31" s="110">
        <v>6464553.69</v>
      </c>
      <c r="D31" s="111"/>
      <c r="E31" s="111"/>
      <c r="F31" s="111"/>
      <c r="G31" s="110">
        <v>6464553.69</v>
      </c>
    </row>
    <row r="32" spans="1:7" ht="12" customHeight="1">
      <c r="A32" s="106" t="s">
        <v>220</v>
      </c>
      <c r="B32" s="107">
        <v>209302910.32</v>
      </c>
      <c r="C32" s="108"/>
      <c r="D32" s="107">
        <v>1696419434.71</v>
      </c>
      <c r="E32" s="107">
        <v>1588768271.71</v>
      </c>
      <c r="F32" s="107">
        <v>316954073.32</v>
      </c>
      <c r="G32" s="108"/>
    </row>
    <row r="33" spans="1:7" ht="12" customHeight="1" outlineLevel="1">
      <c r="A33" s="112" t="s">
        <v>221</v>
      </c>
      <c r="B33" s="113">
        <v>209259712.67</v>
      </c>
      <c r="C33" s="114"/>
      <c r="D33" s="113">
        <v>358039051.37</v>
      </c>
      <c r="E33" s="113">
        <v>250451425.98</v>
      </c>
      <c r="F33" s="113">
        <v>316847338.06</v>
      </c>
      <c r="G33" s="114"/>
    </row>
    <row r="34" spans="1:7" ht="12" customHeight="1" outlineLevel="2">
      <c r="A34" s="115" t="s">
        <v>222</v>
      </c>
      <c r="B34" s="110">
        <v>176712696.49</v>
      </c>
      <c r="C34" s="111"/>
      <c r="D34" s="110">
        <v>220837766.28</v>
      </c>
      <c r="E34" s="110">
        <v>150621255.25</v>
      </c>
      <c r="F34" s="110">
        <v>246929207.52</v>
      </c>
      <c r="G34" s="111"/>
    </row>
    <row r="35" spans="1:7" ht="12" customHeight="1" outlineLevel="2">
      <c r="A35" s="115" t="s">
        <v>223</v>
      </c>
      <c r="B35" s="110">
        <v>2898906.65</v>
      </c>
      <c r="C35" s="111"/>
      <c r="D35" s="110">
        <v>99728161.96</v>
      </c>
      <c r="E35" s="110">
        <v>73080910.92</v>
      </c>
      <c r="F35" s="110">
        <v>29546157.69</v>
      </c>
      <c r="G35" s="111"/>
    </row>
    <row r="36" spans="1:7" ht="12" customHeight="1" outlineLevel="2">
      <c r="A36" s="115" t="s">
        <v>224</v>
      </c>
      <c r="B36" s="110">
        <v>8900605.9</v>
      </c>
      <c r="C36" s="111"/>
      <c r="D36" s="110">
        <v>10002803.41</v>
      </c>
      <c r="E36" s="110">
        <v>9641014.01</v>
      </c>
      <c r="F36" s="110">
        <v>9262395.3</v>
      </c>
      <c r="G36" s="111"/>
    </row>
    <row r="37" spans="1:7" ht="24" customHeight="1" outlineLevel="2">
      <c r="A37" s="115" t="s">
        <v>225</v>
      </c>
      <c r="B37" s="110">
        <v>13471238.32</v>
      </c>
      <c r="C37" s="111"/>
      <c r="D37" s="110">
        <v>11916540.72</v>
      </c>
      <c r="E37" s="110">
        <v>6299645.54</v>
      </c>
      <c r="F37" s="110">
        <v>19088133.5</v>
      </c>
      <c r="G37" s="111"/>
    </row>
    <row r="38" spans="1:7" ht="24" customHeight="1" outlineLevel="2">
      <c r="A38" s="115" t="s">
        <v>226</v>
      </c>
      <c r="B38" s="110">
        <v>15917854.4</v>
      </c>
      <c r="C38" s="111"/>
      <c r="D38" s="110">
        <v>15553779</v>
      </c>
      <c r="E38" s="110">
        <v>10958140.55</v>
      </c>
      <c r="F38" s="110">
        <v>20513492.85</v>
      </c>
      <c r="G38" s="111"/>
    </row>
    <row r="39" spans="1:7" ht="24" customHeight="1" outlineLevel="2">
      <c r="A39" s="115" t="s">
        <v>227</v>
      </c>
      <c r="B39" s="118">
        <v>-8641589.09</v>
      </c>
      <c r="C39" s="111"/>
      <c r="D39" s="111"/>
      <c r="E39" s="118">
        <v>-149540.29</v>
      </c>
      <c r="F39" s="118">
        <v>-8492048.8</v>
      </c>
      <c r="G39" s="111"/>
    </row>
    <row r="40" spans="1:7" ht="12" customHeight="1" outlineLevel="1">
      <c r="A40" s="109" t="s">
        <v>228</v>
      </c>
      <c r="B40" s="111"/>
      <c r="C40" s="111"/>
      <c r="D40" s="110">
        <v>1337618789.6</v>
      </c>
      <c r="E40" s="110">
        <v>1337618789.6</v>
      </c>
      <c r="F40" s="111"/>
      <c r="G40" s="111"/>
    </row>
    <row r="41" spans="1:7" ht="24" customHeight="1" outlineLevel="2">
      <c r="A41" s="115" t="s">
        <v>229</v>
      </c>
      <c r="B41" s="111"/>
      <c r="C41" s="111"/>
      <c r="D41" s="110">
        <v>1337618789.6</v>
      </c>
      <c r="E41" s="110">
        <v>1337618789.6</v>
      </c>
      <c r="F41" s="111"/>
      <c r="G41" s="111"/>
    </row>
    <row r="42" spans="1:7" ht="12" customHeight="1" outlineLevel="1">
      <c r="A42" s="109" t="s">
        <v>230</v>
      </c>
      <c r="B42" s="110">
        <v>43197.65</v>
      </c>
      <c r="C42" s="111"/>
      <c r="D42" s="110">
        <v>761593.74</v>
      </c>
      <c r="E42" s="110">
        <v>698056.13</v>
      </c>
      <c r="F42" s="110">
        <v>106735.26</v>
      </c>
      <c r="G42" s="111"/>
    </row>
    <row r="43" spans="1:7" ht="12" customHeight="1">
      <c r="A43" s="106" t="s">
        <v>231</v>
      </c>
      <c r="B43" s="107">
        <v>284516047.67</v>
      </c>
      <c r="C43" s="108"/>
      <c r="D43" s="107">
        <v>286340004.87</v>
      </c>
      <c r="E43" s="107">
        <v>565713365.41</v>
      </c>
      <c r="F43" s="107">
        <v>5142687.13</v>
      </c>
      <c r="G43" s="108"/>
    </row>
    <row r="44" spans="1:7" ht="24" customHeight="1" outlineLevel="1">
      <c r="A44" s="109" t="s">
        <v>232</v>
      </c>
      <c r="B44" s="110">
        <v>46123063.79</v>
      </c>
      <c r="C44" s="111"/>
      <c r="D44" s="111"/>
      <c r="E44" s="110">
        <v>45946131</v>
      </c>
      <c r="F44" s="110">
        <v>176932.79</v>
      </c>
      <c r="G44" s="111"/>
    </row>
    <row r="45" spans="1:7" ht="24" customHeight="1" outlineLevel="1">
      <c r="A45" s="112" t="s">
        <v>233</v>
      </c>
      <c r="B45" s="113">
        <v>238253653.51</v>
      </c>
      <c r="C45" s="114"/>
      <c r="D45" s="113">
        <v>285108424.32</v>
      </c>
      <c r="E45" s="113">
        <v>519147117.41</v>
      </c>
      <c r="F45" s="113">
        <v>4214960.42</v>
      </c>
      <c r="G45" s="114"/>
    </row>
    <row r="46" spans="1:7" ht="24" customHeight="1" outlineLevel="2">
      <c r="A46" s="119" t="s">
        <v>233</v>
      </c>
      <c r="B46" s="113">
        <v>5743517.66</v>
      </c>
      <c r="C46" s="114"/>
      <c r="D46" s="114"/>
      <c r="E46" s="114"/>
      <c r="F46" s="113">
        <v>5743517.66</v>
      </c>
      <c r="G46" s="114"/>
    </row>
    <row r="47" spans="1:7" ht="24" customHeight="1" outlineLevel="2">
      <c r="A47" s="115" t="s">
        <v>234</v>
      </c>
      <c r="B47" s="110">
        <v>232510135.85</v>
      </c>
      <c r="C47" s="111"/>
      <c r="D47" s="110">
        <v>285108424.32</v>
      </c>
      <c r="E47" s="110">
        <v>519147117.41</v>
      </c>
      <c r="F47" s="118">
        <v>-1528557.24</v>
      </c>
      <c r="G47" s="111"/>
    </row>
    <row r="48" spans="1:7" ht="36" customHeight="1" outlineLevel="1">
      <c r="A48" s="109" t="s">
        <v>235</v>
      </c>
      <c r="B48" s="110">
        <v>139330.37</v>
      </c>
      <c r="C48" s="111"/>
      <c r="D48" s="110">
        <v>1231580.55</v>
      </c>
      <c r="E48" s="110">
        <v>620117</v>
      </c>
      <c r="F48" s="110">
        <v>750793.92</v>
      </c>
      <c r="G48" s="111"/>
    </row>
    <row r="49" spans="1:7" ht="24" customHeight="1">
      <c r="A49" s="106" t="s">
        <v>236</v>
      </c>
      <c r="B49" s="107">
        <v>324325957.8</v>
      </c>
      <c r="C49" s="108"/>
      <c r="D49" s="107">
        <v>1879481291.36</v>
      </c>
      <c r="E49" s="107">
        <v>2029477577.94</v>
      </c>
      <c r="F49" s="107">
        <v>174329671.22</v>
      </c>
      <c r="G49" s="108"/>
    </row>
    <row r="50" spans="1:7" ht="24" customHeight="1" outlineLevel="1">
      <c r="A50" s="109" t="s">
        <v>237</v>
      </c>
      <c r="B50" s="110">
        <v>316240122.91</v>
      </c>
      <c r="C50" s="111"/>
      <c r="D50" s="110">
        <v>1869344235.36</v>
      </c>
      <c r="E50" s="110">
        <v>2019129612.26</v>
      </c>
      <c r="F50" s="110">
        <v>166454746.01</v>
      </c>
      <c r="G50" s="111"/>
    </row>
    <row r="51" spans="1:7" ht="58.5" customHeight="1" outlineLevel="2">
      <c r="A51" s="115" t="s">
        <v>238</v>
      </c>
      <c r="B51" s="110">
        <v>305345004.42</v>
      </c>
      <c r="C51" s="111"/>
      <c r="D51" s="110">
        <v>1783323185.6</v>
      </c>
      <c r="E51" s="110">
        <v>1933648696.5</v>
      </c>
      <c r="F51" s="110">
        <v>155019493.52</v>
      </c>
      <c r="G51" s="111"/>
    </row>
    <row r="52" spans="1:7" ht="58.5" customHeight="1" outlineLevel="2">
      <c r="A52" s="115" t="s">
        <v>239</v>
      </c>
      <c r="B52" s="110">
        <v>2461902.8</v>
      </c>
      <c r="C52" s="111"/>
      <c r="D52" s="110">
        <v>1779600</v>
      </c>
      <c r="E52" s="110">
        <v>1779600</v>
      </c>
      <c r="F52" s="110">
        <v>2461902.8</v>
      </c>
      <c r="G52" s="111"/>
    </row>
    <row r="53" spans="1:7" ht="58.5" customHeight="1" outlineLevel="2">
      <c r="A53" s="115" t="s">
        <v>240</v>
      </c>
      <c r="B53" s="110">
        <v>8433215.69</v>
      </c>
      <c r="C53" s="111"/>
      <c r="D53" s="110">
        <v>84241449.76</v>
      </c>
      <c r="E53" s="110">
        <v>83701315.76</v>
      </c>
      <c r="F53" s="110">
        <v>8973349.69</v>
      </c>
      <c r="G53" s="111"/>
    </row>
    <row r="54" spans="1:7" ht="24" customHeight="1" outlineLevel="1">
      <c r="A54" s="109" t="s">
        <v>241</v>
      </c>
      <c r="B54" s="110">
        <v>8085834.89</v>
      </c>
      <c r="C54" s="111"/>
      <c r="D54" s="110">
        <v>10137056</v>
      </c>
      <c r="E54" s="110">
        <v>10347965.68</v>
      </c>
      <c r="F54" s="110">
        <v>7874925.21</v>
      </c>
      <c r="G54" s="111"/>
    </row>
    <row r="55" spans="1:7" ht="24" customHeight="1">
      <c r="A55" s="106" t="s">
        <v>242</v>
      </c>
      <c r="B55" s="107">
        <v>110193231.46</v>
      </c>
      <c r="C55" s="108"/>
      <c r="D55" s="107">
        <v>716792.73</v>
      </c>
      <c r="E55" s="107">
        <v>15683284.29</v>
      </c>
      <c r="F55" s="107">
        <v>95226739.9</v>
      </c>
      <c r="G55" s="108"/>
    </row>
    <row r="56" spans="1:7" ht="24" customHeight="1" outlineLevel="1">
      <c r="A56" s="109" t="s">
        <v>243</v>
      </c>
      <c r="B56" s="110">
        <v>110193231.46</v>
      </c>
      <c r="C56" s="111"/>
      <c r="D56" s="110">
        <v>716792.73</v>
      </c>
      <c r="E56" s="110">
        <v>15683284.29</v>
      </c>
      <c r="F56" s="110">
        <v>95226739.9</v>
      </c>
      <c r="G56" s="111"/>
    </row>
    <row r="57" spans="1:7" ht="24" customHeight="1" outlineLevel="2">
      <c r="A57" s="115" t="s">
        <v>244</v>
      </c>
      <c r="B57" s="110">
        <v>110193231.46</v>
      </c>
      <c r="C57" s="111"/>
      <c r="D57" s="110">
        <v>716792.73</v>
      </c>
      <c r="E57" s="110">
        <v>15683284.29</v>
      </c>
      <c r="F57" s="110">
        <v>95226739.9</v>
      </c>
      <c r="G57" s="111"/>
    </row>
    <row r="58" spans="1:7" ht="12" customHeight="1">
      <c r="A58" s="106" t="s">
        <v>245</v>
      </c>
      <c r="B58" s="107">
        <v>22195987908.52</v>
      </c>
      <c r="C58" s="108"/>
      <c r="D58" s="107">
        <v>29032907</v>
      </c>
      <c r="E58" s="107">
        <v>635641921.4</v>
      </c>
      <c r="F58" s="107">
        <v>21589378894.12</v>
      </c>
      <c r="G58" s="108"/>
    </row>
    <row r="59" spans="1:7" ht="24" customHeight="1" outlineLevel="1">
      <c r="A59" s="112" t="s">
        <v>246</v>
      </c>
      <c r="B59" s="113">
        <v>115595496021.02</v>
      </c>
      <c r="C59" s="114"/>
      <c r="D59" s="113">
        <v>28267373</v>
      </c>
      <c r="E59" s="113">
        <v>2745857.4</v>
      </c>
      <c r="F59" s="113">
        <v>115621017536.62</v>
      </c>
      <c r="G59" s="114"/>
    </row>
    <row r="60" spans="1:7" ht="12" customHeight="1" outlineLevel="2">
      <c r="A60" s="115" t="s">
        <v>247</v>
      </c>
      <c r="B60" s="110">
        <v>1972608577.12</v>
      </c>
      <c r="C60" s="111"/>
      <c r="D60" s="110">
        <v>1800000</v>
      </c>
      <c r="E60" s="111"/>
      <c r="F60" s="110">
        <v>1974408577.12</v>
      </c>
      <c r="G60" s="111"/>
    </row>
    <row r="61" spans="1:7" ht="24" customHeight="1" outlineLevel="2">
      <c r="A61" s="115" t="s">
        <v>248</v>
      </c>
      <c r="B61" s="110">
        <v>113053963683.3</v>
      </c>
      <c r="C61" s="111"/>
      <c r="D61" s="110">
        <v>9519923</v>
      </c>
      <c r="E61" s="110">
        <v>2745857.4</v>
      </c>
      <c r="F61" s="110">
        <v>113060737748.9</v>
      </c>
      <c r="G61" s="111"/>
    </row>
    <row r="62" spans="1:7" ht="12" customHeight="1" outlineLevel="2">
      <c r="A62" s="115" t="s">
        <v>249</v>
      </c>
      <c r="B62" s="110">
        <v>364394962.88</v>
      </c>
      <c r="C62" s="111"/>
      <c r="D62" s="111"/>
      <c r="E62" s="111"/>
      <c r="F62" s="110">
        <v>364394962.88</v>
      </c>
      <c r="G62" s="111"/>
    </row>
    <row r="63" spans="1:7" ht="12" customHeight="1" outlineLevel="2">
      <c r="A63" s="115" t="s">
        <v>250</v>
      </c>
      <c r="B63" s="110">
        <v>204528797.72</v>
      </c>
      <c r="C63" s="111"/>
      <c r="D63" s="110">
        <v>16947450</v>
      </c>
      <c r="E63" s="111"/>
      <c r="F63" s="110">
        <v>221476247.72</v>
      </c>
      <c r="G63" s="111"/>
    </row>
    <row r="64" spans="1:7" ht="24" customHeight="1" outlineLevel="1">
      <c r="A64" s="112" t="s">
        <v>251</v>
      </c>
      <c r="B64" s="114"/>
      <c r="C64" s="113">
        <v>93399508112.5</v>
      </c>
      <c r="D64" s="113">
        <v>765534</v>
      </c>
      <c r="E64" s="113">
        <v>632896064</v>
      </c>
      <c r="F64" s="114"/>
      <c r="G64" s="113">
        <v>94031638642.50002</v>
      </c>
    </row>
    <row r="65" spans="1:7" ht="24" customHeight="1" outlineLevel="2">
      <c r="A65" s="115" t="s">
        <v>252</v>
      </c>
      <c r="B65" s="111"/>
      <c r="C65" s="110">
        <v>1108046464.26</v>
      </c>
      <c r="D65" s="111"/>
      <c r="E65" s="110">
        <v>20541138</v>
      </c>
      <c r="F65" s="111"/>
      <c r="G65" s="110">
        <v>1128587602.26</v>
      </c>
    </row>
    <row r="66" spans="1:7" ht="36" customHeight="1" outlineLevel="2">
      <c r="A66" s="115" t="s">
        <v>253</v>
      </c>
      <c r="B66" s="111"/>
      <c r="C66" s="110">
        <v>92061093151.36</v>
      </c>
      <c r="D66" s="110">
        <v>765534</v>
      </c>
      <c r="E66" s="110">
        <v>577548292</v>
      </c>
      <c r="F66" s="111"/>
      <c r="G66" s="110">
        <v>92637875909.36002</v>
      </c>
    </row>
    <row r="67" spans="1:7" ht="24" customHeight="1" outlineLevel="2">
      <c r="A67" s="115" t="s">
        <v>254</v>
      </c>
      <c r="B67" s="111"/>
      <c r="C67" s="110">
        <v>149088179.92</v>
      </c>
      <c r="D67" s="111"/>
      <c r="E67" s="110">
        <v>20695812</v>
      </c>
      <c r="F67" s="111"/>
      <c r="G67" s="110">
        <v>169783991.92</v>
      </c>
    </row>
    <row r="68" spans="1:7" ht="24" customHeight="1" outlineLevel="2">
      <c r="A68" s="115" t="s">
        <v>255</v>
      </c>
      <c r="B68" s="111"/>
      <c r="C68" s="110">
        <v>81280316.96</v>
      </c>
      <c r="D68" s="111"/>
      <c r="E68" s="110">
        <v>14110822</v>
      </c>
      <c r="F68" s="111"/>
      <c r="G68" s="110">
        <v>95391138.96</v>
      </c>
    </row>
    <row r="69" spans="1:7" ht="12" customHeight="1">
      <c r="A69" s="106" t="s">
        <v>256</v>
      </c>
      <c r="B69" s="107">
        <v>109033556.93</v>
      </c>
      <c r="C69" s="108"/>
      <c r="D69" s="107">
        <v>396000</v>
      </c>
      <c r="E69" s="107">
        <v>11159023.92</v>
      </c>
      <c r="F69" s="107">
        <v>98270533.01</v>
      </c>
      <c r="G69" s="108"/>
    </row>
    <row r="70" spans="1:7" ht="24" customHeight="1" outlineLevel="1">
      <c r="A70" s="112" t="s">
        <v>257</v>
      </c>
      <c r="B70" s="113">
        <v>150499913.18</v>
      </c>
      <c r="C70" s="114"/>
      <c r="D70" s="113">
        <v>396000</v>
      </c>
      <c r="E70" s="114"/>
      <c r="F70" s="113">
        <v>150895913.18</v>
      </c>
      <c r="G70" s="114"/>
    </row>
    <row r="71" spans="1:7" ht="24" customHeight="1" outlineLevel="2">
      <c r="A71" s="115" t="s">
        <v>258</v>
      </c>
      <c r="B71" s="110">
        <v>140333862.78</v>
      </c>
      <c r="C71" s="111"/>
      <c r="D71" s="110">
        <v>396000</v>
      </c>
      <c r="E71" s="111"/>
      <c r="F71" s="110">
        <v>140729862.78</v>
      </c>
      <c r="G71" s="111"/>
    </row>
    <row r="72" spans="1:7" ht="12" customHeight="1" outlineLevel="2">
      <c r="A72" s="115" t="s">
        <v>259</v>
      </c>
      <c r="B72" s="110">
        <v>4272845.04</v>
      </c>
      <c r="C72" s="111"/>
      <c r="D72" s="111"/>
      <c r="E72" s="111"/>
      <c r="F72" s="110">
        <v>4272845.04</v>
      </c>
      <c r="G72" s="111"/>
    </row>
    <row r="73" spans="1:7" ht="24" customHeight="1" outlineLevel="2">
      <c r="A73" s="115" t="s">
        <v>260</v>
      </c>
      <c r="B73" s="110">
        <v>5893205.36</v>
      </c>
      <c r="C73" s="111"/>
      <c r="D73" s="111"/>
      <c r="E73" s="111"/>
      <c r="F73" s="110">
        <v>5893205.36</v>
      </c>
      <c r="G73" s="111"/>
    </row>
    <row r="74" spans="1:7" ht="24" customHeight="1" outlineLevel="1">
      <c r="A74" s="112" t="s">
        <v>261</v>
      </c>
      <c r="B74" s="114"/>
      <c r="C74" s="113">
        <v>41466356.25</v>
      </c>
      <c r="D74" s="114"/>
      <c r="E74" s="113">
        <v>11159023.92</v>
      </c>
      <c r="F74" s="114"/>
      <c r="G74" s="113">
        <v>52625380.17</v>
      </c>
    </row>
    <row r="75" spans="1:7" ht="24" customHeight="1" outlineLevel="2">
      <c r="A75" s="115" t="s">
        <v>262</v>
      </c>
      <c r="B75" s="111"/>
      <c r="C75" s="110">
        <v>37567691.25</v>
      </c>
      <c r="D75" s="111"/>
      <c r="E75" s="110">
        <v>10398084.18</v>
      </c>
      <c r="F75" s="111"/>
      <c r="G75" s="110">
        <v>47965775.43</v>
      </c>
    </row>
    <row r="76" spans="1:7" ht="24" customHeight="1" outlineLevel="2">
      <c r="A76" s="115" t="s">
        <v>263</v>
      </c>
      <c r="B76" s="111"/>
      <c r="C76" s="110">
        <v>1217088</v>
      </c>
      <c r="D76" s="111"/>
      <c r="E76" s="110">
        <v>318949.44</v>
      </c>
      <c r="F76" s="111"/>
      <c r="G76" s="110">
        <v>1536037.44</v>
      </c>
    </row>
    <row r="77" spans="1:7" ht="24" customHeight="1" outlineLevel="2">
      <c r="A77" s="115" t="s">
        <v>264</v>
      </c>
      <c r="B77" s="111"/>
      <c r="C77" s="110">
        <v>2681577</v>
      </c>
      <c r="D77" s="111"/>
      <c r="E77" s="110">
        <v>441990.3</v>
      </c>
      <c r="F77" s="111"/>
      <c r="G77" s="110">
        <v>3123567.3</v>
      </c>
    </row>
    <row r="78" spans="1:7" ht="24" customHeight="1">
      <c r="A78" s="106" t="s">
        <v>265</v>
      </c>
      <c r="B78" s="107">
        <v>309258710.53</v>
      </c>
      <c r="C78" s="108"/>
      <c r="D78" s="107">
        <v>395210079.48</v>
      </c>
      <c r="E78" s="108"/>
      <c r="F78" s="107">
        <v>704468790.01</v>
      </c>
      <c r="G78" s="108"/>
    </row>
    <row r="79" spans="1:7" ht="24" customHeight="1" outlineLevel="1">
      <c r="A79" s="109" t="s">
        <v>266</v>
      </c>
      <c r="B79" s="110">
        <v>309258710.53</v>
      </c>
      <c r="C79" s="111"/>
      <c r="D79" s="110">
        <v>395210079.48</v>
      </c>
      <c r="E79" s="111"/>
      <c r="F79" s="110">
        <v>704468790.01</v>
      </c>
      <c r="G79" s="111"/>
    </row>
    <row r="80" spans="1:7" ht="24" customHeight="1" outlineLevel="2">
      <c r="A80" s="115" t="s">
        <v>267</v>
      </c>
      <c r="B80" s="110">
        <v>309258710.53</v>
      </c>
      <c r="C80" s="111"/>
      <c r="D80" s="110">
        <v>395210079.48</v>
      </c>
      <c r="E80" s="111"/>
      <c r="F80" s="110">
        <v>704468790.01</v>
      </c>
      <c r="G80" s="111"/>
    </row>
    <row r="81" spans="1:7" ht="24" customHeight="1">
      <c r="A81" s="106" t="s">
        <v>268</v>
      </c>
      <c r="B81" s="108"/>
      <c r="C81" s="107">
        <v>1019124171.36</v>
      </c>
      <c r="D81" s="107">
        <v>1792815050.4</v>
      </c>
      <c r="E81" s="107">
        <v>1417003975.06</v>
      </c>
      <c r="F81" s="108"/>
      <c r="G81" s="107">
        <v>643313096.02</v>
      </c>
    </row>
    <row r="82" spans="1:7" ht="48" customHeight="1" outlineLevel="1">
      <c r="A82" s="109" t="s">
        <v>269</v>
      </c>
      <c r="B82" s="111"/>
      <c r="C82" s="110">
        <v>20142102.14</v>
      </c>
      <c r="D82" s="110">
        <v>4974471.16</v>
      </c>
      <c r="E82" s="110">
        <v>428626254.62</v>
      </c>
      <c r="F82" s="111"/>
      <c r="G82" s="110">
        <v>443793885.6</v>
      </c>
    </row>
    <row r="83" spans="1:7" ht="24" customHeight="1" outlineLevel="2">
      <c r="A83" s="115" t="s">
        <v>270</v>
      </c>
      <c r="B83" s="111"/>
      <c r="C83" s="110">
        <v>9366008.67</v>
      </c>
      <c r="D83" s="111"/>
      <c r="E83" s="110">
        <v>428420000</v>
      </c>
      <c r="F83" s="111"/>
      <c r="G83" s="110">
        <v>437786008.67</v>
      </c>
    </row>
    <row r="84" spans="1:7" ht="24" customHeight="1" outlineLevel="2">
      <c r="A84" s="115" t="s">
        <v>271</v>
      </c>
      <c r="B84" s="111"/>
      <c r="C84" s="110">
        <v>10776093.47</v>
      </c>
      <c r="D84" s="110">
        <v>4974471.16</v>
      </c>
      <c r="E84" s="110">
        <v>206254.62</v>
      </c>
      <c r="F84" s="111"/>
      <c r="G84" s="110">
        <v>6007876.93</v>
      </c>
    </row>
    <row r="85" spans="1:7" ht="36" customHeight="1" outlineLevel="1">
      <c r="A85" s="112" t="s">
        <v>272</v>
      </c>
      <c r="B85" s="114"/>
      <c r="C85" s="113">
        <v>998982069.22</v>
      </c>
      <c r="D85" s="113">
        <v>1787840579.24</v>
      </c>
      <c r="E85" s="113">
        <v>988377720.44</v>
      </c>
      <c r="F85" s="114"/>
      <c r="G85" s="113">
        <v>199519210.42</v>
      </c>
    </row>
    <row r="86" spans="1:7" ht="36" customHeight="1" outlineLevel="2">
      <c r="A86" s="119" t="s">
        <v>272</v>
      </c>
      <c r="B86" s="114"/>
      <c r="C86" s="113">
        <v>2383127.64</v>
      </c>
      <c r="D86" s="113">
        <v>2383127.64</v>
      </c>
      <c r="E86" s="114"/>
      <c r="F86" s="114"/>
      <c r="G86" s="114"/>
    </row>
    <row r="87" spans="1:7" ht="24" customHeight="1" outlineLevel="2">
      <c r="A87" s="115" t="s">
        <v>364</v>
      </c>
      <c r="B87" s="111"/>
      <c r="C87" s="110">
        <v>996598941.58</v>
      </c>
      <c r="D87" s="110">
        <v>1785457451.6</v>
      </c>
      <c r="E87" s="110">
        <v>988377720.44</v>
      </c>
      <c r="F87" s="111"/>
      <c r="G87" s="110">
        <v>199519210.42</v>
      </c>
    </row>
    <row r="88" spans="1:7" ht="12" customHeight="1">
      <c r="A88" s="106" t="s">
        <v>273</v>
      </c>
      <c r="B88" s="108"/>
      <c r="C88" s="107">
        <v>3747580.45</v>
      </c>
      <c r="D88" s="107">
        <v>892694696.41</v>
      </c>
      <c r="E88" s="107">
        <v>901924545.96</v>
      </c>
      <c r="F88" s="108"/>
      <c r="G88" s="107">
        <v>12977430</v>
      </c>
    </row>
    <row r="89" spans="1:7" ht="36" customHeight="1" outlineLevel="1">
      <c r="A89" s="109" t="s">
        <v>274</v>
      </c>
      <c r="B89" s="111"/>
      <c r="C89" s="111"/>
      <c r="D89" s="110">
        <v>155811973</v>
      </c>
      <c r="E89" s="110">
        <v>155811973</v>
      </c>
      <c r="F89" s="111"/>
      <c r="G89" s="111"/>
    </row>
    <row r="90" spans="1:7" ht="24" customHeight="1" outlineLevel="1">
      <c r="A90" s="109" t="s">
        <v>275</v>
      </c>
      <c r="B90" s="111"/>
      <c r="C90" s="110">
        <v>963140</v>
      </c>
      <c r="D90" s="110">
        <v>36513027.6</v>
      </c>
      <c r="E90" s="110">
        <v>42621715.6</v>
      </c>
      <c r="F90" s="111"/>
      <c r="G90" s="110">
        <v>7071828</v>
      </c>
    </row>
    <row r="91" spans="1:7" ht="24" customHeight="1" outlineLevel="1">
      <c r="A91" s="109" t="s">
        <v>276</v>
      </c>
      <c r="B91" s="111"/>
      <c r="C91" s="111"/>
      <c r="D91" s="110">
        <v>519147117.41</v>
      </c>
      <c r="E91" s="110">
        <v>519147117.41</v>
      </c>
      <c r="F91" s="111"/>
      <c r="G91" s="111"/>
    </row>
    <row r="92" spans="1:7" ht="12" customHeight="1" outlineLevel="1">
      <c r="A92" s="109" t="s">
        <v>277</v>
      </c>
      <c r="B92" s="111"/>
      <c r="C92" s="110">
        <v>1389288</v>
      </c>
      <c r="D92" s="110">
        <v>29518214</v>
      </c>
      <c r="E92" s="110">
        <v>34034528</v>
      </c>
      <c r="F92" s="111"/>
      <c r="G92" s="110">
        <v>5905602</v>
      </c>
    </row>
    <row r="93" spans="1:7" ht="12" customHeight="1" outlineLevel="1">
      <c r="A93" s="109" t="s">
        <v>278</v>
      </c>
      <c r="B93" s="111"/>
      <c r="C93" s="111"/>
      <c r="D93" s="110">
        <v>2600484</v>
      </c>
      <c r="E93" s="110">
        <v>2600484</v>
      </c>
      <c r="F93" s="111"/>
      <c r="G93" s="111"/>
    </row>
    <row r="94" spans="1:7" ht="24" customHeight="1" outlineLevel="1">
      <c r="A94" s="109" t="s">
        <v>279</v>
      </c>
      <c r="B94" s="111"/>
      <c r="C94" s="110">
        <v>4327</v>
      </c>
      <c r="D94" s="110">
        <v>4327</v>
      </c>
      <c r="E94" s="111"/>
      <c r="F94" s="111"/>
      <c r="G94" s="111"/>
    </row>
    <row r="95" spans="1:7" ht="12" customHeight="1" outlineLevel="1">
      <c r="A95" s="109" t="s">
        <v>280</v>
      </c>
      <c r="B95" s="111"/>
      <c r="C95" s="110">
        <v>1390825.45</v>
      </c>
      <c r="D95" s="110">
        <v>148108657</v>
      </c>
      <c r="E95" s="110">
        <v>146717831.55</v>
      </c>
      <c r="F95" s="111"/>
      <c r="G95" s="111"/>
    </row>
    <row r="96" spans="1:7" ht="12" customHeight="1" outlineLevel="1">
      <c r="A96" s="109" t="s">
        <v>281</v>
      </c>
      <c r="B96" s="111"/>
      <c r="C96" s="111"/>
      <c r="D96" s="110">
        <v>990896.4</v>
      </c>
      <c r="E96" s="110">
        <v>990896.4</v>
      </c>
      <c r="F96" s="111"/>
      <c r="G96" s="111"/>
    </row>
    <row r="97" spans="1:7" ht="36" customHeight="1">
      <c r="A97" s="106" t="s">
        <v>282</v>
      </c>
      <c r="B97" s="108"/>
      <c r="C97" s="107">
        <v>23092639.2</v>
      </c>
      <c r="D97" s="107">
        <v>85392239.8</v>
      </c>
      <c r="E97" s="107">
        <v>77251665.8</v>
      </c>
      <c r="F97" s="108"/>
      <c r="G97" s="107">
        <v>14952065.2</v>
      </c>
    </row>
    <row r="98" spans="1:7" ht="24" customHeight="1" outlineLevel="1">
      <c r="A98" s="109" t="s">
        <v>283</v>
      </c>
      <c r="B98" s="111"/>
      <c r="C98" s="110">
        <v>5123294.09</v>
      </c>
      <c r="D98" s="110">
        <v>23016324.22</v>
      </c>
      <c r="E98" s="110">
        <v>21621981.92</v>
      </c>
      <c r="F98" s="111"/>
      <c r="G98" s="110">
        <v>3728951.79</v>
      </c>
    </row>
    <row r="99" spans="1:7" ht="24" customHeight="1" outlineLevel="1">
      <c r="A99" s="109" t="s">
        <v>284</v>
      </c>
      <c r="B99" s="111"/>
      <c r="C99" s="110">
        <v>17969345.11</v>
      </c>
      <c r="D99" s="110">
        <v>62375915.58</v>
      </c>
      <c r="E99" s="110">
        <v>55629683.88</v>
      </c>
      <c r="F99" s="111"/>
      <c r="G99" s="110">
        <v>11223113.41</v>
      </c>
    </row>
    <row r="100" spans="1:7" ht="24" customHeight="1">
      <c r="A100" s="106" t="s">
        <v>285</v>
      </c>
      <c r="B100" s="108"/>
      <c r="C100" s="107">
        <v>2282985925.42</v>
      </c>
      <c r="D100" s="107">
        <v>5330970206.06</v>
      </c>
      <c r="E100" s="107">
        <v>3896001049.91</v>
      </c>
      <c r="F100" s="108"/>
      <c r="G100" s="107">
        <v>848016769.27</v>
      </c>
    </row>
    <row r="101" spans="1:7" ht="36" customHeight="1" outlineLevel="1">
      <c r="A101" s="112" t="s">
        <v>286</v>
      </c>
      <c r="B101" s="114"/>
      <c r="C101" s="113">
        <v>2119618722.12</v>
      </c>
      <c r="D101" s="113">
        <v>4462264680.51</v>
      </c>
      <c r="E101" s="113">
        <v>3069468455.34</v>
      </c>
      <c r="F101" s="114"/>
      <c r="G101" s="113">
        <v>726822496.95</v>
      </c>
    </row>
    <row r="102" spans="1:7" ht="36" customHeight="1" outlineLevel="2">
      <c r="A102" s="115" t="s">
        <v>287</v>
      </c>
      <c r="B102" s="111"/>
      <c r="C102" s="110">
        <v>29067852.25</v>
      </c>
      <c r="D102" s="110">
        <v>150970953.17</v>
      </c>
      <c r="E102" s="110">
        <v>142210436.5</v>
      </c>
      <c r="F102" s="111"/>
      <c r="G102" s="110">
        <v>20307335.58</v>
      </c>
    </row>
    <row r="103" spans="1:7" ht="36" customHeight="1" outlineLevel="2">
      <c r="A103" s="115" t="s">
        <v>288</v>
      </c>
      <c r="B103" s="111"/>
      <c r="C103" s="110">
        <v>1949796152.84</v>
      </c>
      <c r="D103" s="110">
        <v>1720351391.8</v>
      </c>
      <c r="E103" s="110">
        <v>331844624.98</v>
      </c>
      <c r="F103" s="111"/>
      <c r="G103" s="110">
        <v>561289386.02</v>
      </c>
    </row>
    <row r="104" spans="1:7" ht="36" customHeight="1" outlineLevel="2">
      <c r="A104" s="115" t="s">
        <v>289</v>
      </c>
      <c r="B104" s="111"/>
      <c r="C104" s="110">
        <v>140754717.03</v>
      </c>
      <c r="D104" s="110">
        <v>2590942335.54</v>
      </c>
      <c r="E104" s="110">
        <v>2595413393.86</v>
      </c>
      <c r="F104" s="111"/>
      <c r="G104" s="110">
        <v>145225775.35</v>
      </c>
    </row>
    <row r="105" spans="1:7" ht="24" customHeight="1" outlineLevel="1">
      <c r="A105" s="109" t="s">
        <v>290</v>
      </c>
      <c r="B105" s="111"/>
      <c r="C105" s="110">
        <v>38815311.82</v>
      </c>
      <c r="D105" s="110">
        <v>573464516.85</v>
      </c>
      <c r="E105" s="110">
        <v>595368765.9</v>
      </c>
      <c r="F105" s="111"/>
      <c r="G105" s="110">
        <v>60719560.87</v>
      </c>
    </row>
    <row r="106" spans="1:7" ht="24" customHeight="1" outlineLevel="1">
      <c r="A106" s="109" t="s">
        <v>291</v>
      </c>
      <c r="B106" s="111"/>
      <c r="C106" s="110">
        <v>78368792.12</v>
      </c>
      <c r="D106" s="110">
        <v>180588974.45</v>
      </c>
      <c r="E106" s="110">
        <v>118646850</v>
      </c>
      <c r="F106" s="111"/>
      <c r="G106" s="110">
        <v>16426667.67</v>
      </c>
    </row>
    <row r="107" spans="1:7" ht="24" customHeight="1" outlineLevel="2">
      <c r="A107" s="115" t="s">
        <v>360</v>
      </c>
      <c r="B107" s="111"/>
      <c r="C107" s="110">
        <v>78368792.12</v>
      </c>
      <c r="D107" s="110">
        <v>180588974.45</v>
      </c>
      <c r="E107" s="110">
        <v>118646850</v>
      </c>
      <c r="F107" s="111"/>
      <c r="G107" s="110">
        <v>16426667.67</v>
      </c>
    </row>
    <row r="108" spans="1:7" ht="24" customHeight="1" outlineLevel="1">
      <c r="A108" s="112" t="s">
        <v>292</v>
      </c>
      <c r="B108" s="114"/>
      <c r="C108" s="113">
        <v>46183099.36</v>
      </c>
      <c r="D108" s="113">
        <v>114652034.25</v>
      </c>
      <c r="E108" s="113">
        <v>112516978.67</v>
      </c>
      <c r="F108" s="114"/>
      <c r="G108" s="113">
        <v>44048043.78</v>
      </c>
    </row>
    <row r="109" spans="1:7" ht="36" customHeight="1" outlineLevel="2">
      <c r="A109" s="115" t="s">
        <v>293</v>
      </c>
      <c r="B109" s="111"/>
      <c r="C109" s="110">
        <v>2421554.84</v>
      </c>
      <c r="D109" s="110">
        <v>2195979.85</v>
      </c>
      <c r="E109" s="110">
        <v>1910302.4</v>
      </c>
      <c r="F109" s="111"/>
      <c r="G109" s="110">
        <v>2135877.39</v>
      </c>
    </row>
    <row r="110" spans="1:7" ht="24" customHeight="1" outlineLevel="2">
      <c r="A110" s="115" t="s">
        <v>294</v>
      </c>
      <c r="B110" s="111"/>
      <c r="C110" s="110">
        <v>1275220</v>
      </c>
      <c r="D110" s="110">
        <v>4249441</v>
      </c>
      <c r="E110" s="110">
        <v>3873279</v>
      </c>
      <c r="F110" s="111"/>
      <c r="G110" s="110">
        <v>899058</v>
      </c>
    </row>
    <row r="111" spans="1:7" ht="24" customHeight="1" outlineLevel="2">
      <c r="A111" s="115" t="s">
        <v>295</v>
      </c>
      <c r="B111" s="111"/>
      <c r="C111" s="110">
        <v>653962</v>
      </c>
      <c r="D111" s="110">
        <v>5918873.24</v>
      </c>
      <c r="E111" s="110">
        <v>5935677.09</v>
      </c>
      <c r="F111" s="111"/>
      <c r="G111" s="110">
        <v>670765.85</v>
      </c>
    </row>
    <row r="112" spans="1:7" ht="24" customHeight="1" outlineLevel="2">
      <c r="A112" s="115" t="s">
        <v>296</v>
      </c>
      <c r="B112" s="111"/>
      <c r="C112" s="110">
        <v>39028331.16</v>
      </c>
      <c r="D112" s="110">
        <v>89967586.16</v>
      </c>
      <c r="E112" s="110">
        <v>89016820.08</v>
      </c>
      <c r="F112" s="111"/>
      <c r="G112" s="110">
        <v>38077565.08</v>
      </c>
    </row>
    <row r="113" spans="1:7" ht="24" customHeight="1" outlineLevel="2">
      <c r="A113" s="115" t="s">
        <v>297</v>
      </c>
      <c r="B113" s="111"/>
      <c r="C113" s="110">
        <v>2118998.36</v>
      </c>
      <c r="D113" s="110">
        <v>10374661</v>
      </c>
      <c r="E113" s="110">
        <v>9868238.1</v>
      </c>
      <c r="F113" s="111"/>
      <c r="G113" s="110">
        <v>1612575.46</v>
      </c>
    </row>
    <row r="114" spans="1:7" ht="24" customHeight="1" outlineLevel="2">
      <c r="A114" s="115" t="s">
        <v>298</v>
      </c>
      <c r="B114" s="111"/>
      <c r="C114" s="110">
        <v>685033</v>
      </c>
      <c r="D114" s="110">
        <v>1945493</v>
      </c>
      <c r="E114" s="110">
        <v>1912662</v>
      </c>
      <c r="F114" s="111"/>
      <c r="G114" s="110">
        <v>652202</v>
      </c>
    </row>
    <row r="115" spans="1:7" ht="24" customHeight="1">
      <c r="A115" s="106" t="s">
        <v>299</v>
      </c>
      <c r="B115" s="108"/>
      <c r="C115" s="107">
        <v>112982721</v>
      </c>
      <c r="D115" s="108"/>
      <c r="E115" s="107">
        <v>11639193</v>
      </c>
      <c r="F115" s="108"/>
      <c r="G115" s="107">
        <v>124621914</v>
      </c>
    </row>
    <row r="116" spans="1:7" ht="36" customHeight="1" outlineLevel="1">
      <c r="A116" s="109" t="s">
        <v>300</v>
      </c>
      <c r="B116" s="111"/>
      <c r="C116" s="110">
        <v>112982721</v>
      </c>
      <c r="D116" s="111"/>
      <c r="E116" s="110">
        <v>11639193</v>
      </c>
      <c r="F116" s="111"/>
      <c r="G116" s="110">
        <v>124621914</v>
      </c>
    </row>
    <row r="117" spans="1:7" ht="36" customHeight="1" outlineLevel="2">
      <c r="A117" s="115" t="s">
        <v>361</v>
      </c>
      <c r="B117" s="111"/>
      <c r="C117" s="110">
        <v>112982721</v>
      </c>
      <c r="D117" s="111"/>
      <c r="E117" s="110">
        <v>11639193</v>
      </c>
      <c r="F117" s="111"/>
      <c r="G117" s="110">
        <v>124621914</v>
      </c>
    </row>
    <row r="118" spans="1:7" ht="24" customHeight="1">
      <c r="A118" s="106" t="s">
        <v>301</v>
      </c>
      <c r="B118" s="108"/>
      <c r="C118" s="107">
        <v>692541251.43</v>
      </c>
      <c r="D118" s="107">
        <v>4233736928.49</v>
      </c>
      <c r="E118" s="107">
        <v>4347756817.230001</v>
      </c>
      <c r="F118" s="108"/>
      <c r="G118" s="107">
        <v>806561140.17</v>
      </c>
    </row>
    <row r="119" spans="1:7" ht="24" customHeight="1" outlineLevel="1">
      <c r="A119" s="109" t="s">
        <v>302</v>
      </c>
      <c r="B119" s="111"/>
      <c r="C119" s="110">
        <v>692541251.43</v>
      </c>
      <c r="D119" s="110">
        <v>4233736928.49</v>
      </c>
      <c r="E119" s="110">
        <v>4347756817.230001</v>
      </c>
      <c r="F119" s="111"/>
      <c r="G119" s="110">
        <v>806561140.17</v>
      </c>
    </row>
    <row r="120" spans="1:7" ht="24" customHeight="1" outlineLevel="2">
      <c r="A120" s="115" t="s">
        <v>302</v>
      </c>
      <c r="B120" s="111"/>
      <c r="C120" s="110">
        <v>20000</v>
      </c>
      <c r="D120" s="111"/>
      <c r="E120" s="111"/>
      <c r="F120" s="111"/>
      <c r="G120" s="110">
        <v>20000</v>
      </c>
    </row>
    <row r="121" spans="1:7" ht="48" customHeight="1" outlineLevel="2">
      <c r="A121" s="115" t="s">
        <v>303</v>
      </c>
      <c r="B121" s="111"/>
      <c r="C121" s="110">
        <v>666969945.83</v>
      </c>
      <c r="D121" s="110">
        <v>4148041403.92</v>
      </c>
      <c r="E121" s="110">
        <v>4252375502.61</v>
      </c>
      <c r="F121" s="111"/>
      <c r="G121" s="110">
        <v>771304044.52</v>
      </c>
    </row>
    <row r="122" spans="1:7" ht="12" customHeight="1" outlineLevel="2">
      <c r="A122" s="115" t="s">
        <v>304</v>
      </c>
      <c r="B122" s="111"/>
      <c r="C122" s="110">
        <v>25551305.6</v>
      </c>
      <c r="D122" s="110">
        <v>85695524.57</v>
      </c>
      <c r="E122" s="110">
        <v>95381314.62</v>
      </c>
      <c r="F122" s="111"/>
      <c r="G122" s="110">
        <v>35237095.65</v>
      </c>
    </row>
    <row r="123" spans="1:7" ht="24" customHeight="1">
      <c r="A123" s="106" t="s">
        <v>305</v>
      </c>
      <c r="B123" s="108"/>
      <c r="C123" s="107">
        <v>3970838197.16</v>
      </c>
      <c r="D123" s="107">
        <v>736330758.52</v>
      </c>
      <c r="E123" s="107">
        <v>674436222.4</v>
      </c>
      <c r="F123" s="108"/>
      <c r="G123" s="107">
        <v>3908943661.04</v>
      </c>
    </row>
    <row r="124" spans="1:9" ht="58.5" customHeight="1" outlineLevel="1">
      <c r="A124" s="109" t="s">
        <v>306</v>
      </c>
      <c r="B124" s="111"/>
      <c r="C124" s="110">
        <v>2262679428.15</v>
      </c>
      <c r="D124" s="110">
        <v>604729222.4</v>
      </c>
      <c r="E124" s="110">
        <v>576398926</v>
      </c>
      <c r="F124" s="111"/>
      <c r="G124" s="110">
        <v>2234349131.75</v>
      </c>
      <c r="I124" s="51">
        <f>G124-93426930</f>
        <v>2140922201.75</v>
      </c>
    </row>
    <row r="125" spans="1:7" ht="24" customHeight="1" outlineLevel="2">
      <c r="A125" s="115" t="s">
        <v>307</v>
      </c>
      <c r="B125" s="111"/>
      <c r="C125" s="110">
        <v>582679428.15</v>
      </c>
      <c r="D125" s="110">
        <v>604729222.4</v>
      </c>
      <c r="E125" s="110">
        <v>576398926</v>
      </c>
      <c r="F125" s="111"/>
      <c r="G125" s="110">
        <v>554349131.75</v>
      </c>
    </row>
    <row r="126" spans="1:9" ht="12" customHeight="1" outlineLevel="2">
      <c r="A126" s="115" t="s">
        <v>308</v>
      </c>
      <c r="B126" s="111"/>
      <c r="C126" s="110">
        <v>1680000000</v>
      </c>
      <c r="D126" s="111"/>
      <c r="E126" s="111"/>
      <c r="F126" s="111"/>
      <c r="G126" s="110">
        <v>1680000000</v>
      </c>
      <c r="I126" s="51"/>
    </row>
    <row r="127" spans="1:7" ht="24" customHeight="1" outlineLevel="1">
      <c r="A127" s="112" t="s">
        <v>309</v>
      </c>
      <c r="B127" s="114"/>
      <c r="C127" s="113">
        <v>1708158769.01</v>
      </c>
      <c r="D127" s="113">
        <v>131601536.12</v>
      </c>
      <c r="E127" s="113">
        <v>98037296.4</v>
      </c>
      <c r="F127" s="114"/>
      <c r="G127" s="113">
        <v>1674594529.29</v>
      </c>
    </row>
    <row r="128" spans="1:7" ht="24" customHeight="1" outlineLevel="2">
      <c r="A128" s="115" t="s">
        <v>310</v>
      </c>
      <c r="B128" s="111"/>
      <c r="C128" s="110">
        <v>43999948</v>
      </c>
      <c r="D128" s="111"/>
      <c r="E128" s="111"/>
      <c r="F128" s="111"/>
      <c r="G128" s="110">
        <v>43999948</v>
      </c>
    </row>
    <row r="129" spans="1:7" ht="12" customHeight="1" outlineLevel="2">
      <c r="A129" s="115" t="s">
        <v>311</v>
      </c>
      <c r="B129" s="111"/>
      <c r="C129" s="110">
        <v>1664158821.01</v>
      </c>
      <c r="D129" s="110">
        <v>131601536.12</v>
      </c>
      <c r="E129" s="110">
        <v>98037296.4</v>
      </c>
      <c r="F129" s="111"/>
      <c r="G129" s="110">
        <v>1630594581.29</v>
      </c>
    </row>
    <row r="130" spans="1:7" ht="24" customHeight="1">
      <c r="A130" s="106" t="s">
        <v>312</v>
      </c>
      <c r="B130" s="108"/>
      <c r="C130" s="107">
        <v>57306299</v>
      </c>
      <c r="D130" s="108"/>
      <c r="E130" s="107">
        <v>1591734</v>
      </c>
      <c r="F130" s="108"/>
      <c r="G130" s="107">
        <v>58898033</v>
      </c>
    </row>
    <row r="131" spans="1:7" ht="36" customHeight="1" outlineLevel="1">
      <c r="A131" s="109" t="s">
        <v>313</v>
      </c>
      <c r="B131" s="111"/>
      <c r="C131" s="110">
        <v>57306299</v>
      </c>
      <c r="D131" s="111"/>
      <c r="E131" s="110">
        <v>1591734</v>
      </c>
      <c r="F131" s="111"/>
      <c r="G131" s="110">
        <v>58898033</v>
      </c>
    </row>
    <row r="132" spans="1:7" ht="24" customHeight="1">
      <c r="A132" s="106" t="s">
        <v>314</v>
      </c>
      <c r="B132" s="108"/>
      <c r="C132" s="107">
        <v>2865932800</v>
      </c>
      <c r="D132" s="108"/>
      <c r="E132" s="120">
        <v>-23615104</v>
      </c>
      <c r="F132" s="108"/>
      <c r="G132" s="107">
        <v>2842317696</v>
      </c>
    </row>
    <row r="133" spans="1:7" ht="48" customHeight="1" outlineLevel="1">
      <c r="A133" s="109" t="s">
        <v>315</v>
      </c>
      <c r="B133" s="111"/>
      <c r="C133" s="110">
        <v>2865932800</v>
      </c>
      <c r="D133" s="111"/>
      <c r="E133" s="118">
        <v>-23615104</v>
      </c>
      <c r="F133" s="111"/>
      <c r="G133" s="110">
        <v>2842317696</v>
      </c>
    </row>
    <row r="134" spans="1:7" ht="12" customHeight="1">
      <c r="A134" s="106" t="s">
        <v>316</v>
      </c>
      <c r="B134" s="108"/>
      <c r="C134" s="107">
        <v>1188015776.5</v>
      </c>
      <c r="D134" s="108"/>
      <c r="E134" s="108"/>
      <c r="F134" s="108"/>
      <c r="G134" s="107">
        <v>1188015776.5</v>
      </c>
    </row>
    <row r="135" spans="1:7" ht="12" customHeight="1" outlineLevel="1">
      <c r="A135" s="109" t="s">
        <v>317</v>
      </c>
      <c r="B135" s="111"/>
      <c r="C135" s="110">
        <v>12319172</v>
      </c>
      <c r="D135" s="111"/>
      <c r="E135" s="111"/>
      <c r="F135" s="111"/>
      <c r="G135" s="110">
        <v>12319172</v>
      </c>
    </row>
    <row r="136" spans="1:7" ht="12" customHeight="1" outlineLevel="1">
      <c r="A136" s="109" t="s">
        <v>318</v>
      </c>
      <c r="B136" s="111"/>
      <c r="C136" s="110">
        <v>1175696604.5</v>
      </c>
      <c r="D136" s="111"/>
      <c r="E136" s="111"/>
      <c r="F136" s="111"/>
      <c r="G136" s="110">
        <v>1175696604.5</v>
      </c>
    </row>
    <row r="137" spans="1:7" ht="24" customHeight="1">
      <c r="A137" s="106" t="s">
        <v>319</v>
      </c>
      <c r="B137" s="108"/>
      <c r="C137" s="120">
        <v>-38923576.4</v>
      </c>
      <c r="D137" s="108"/>
      <c r="E137" s="108"/>
      <c r="F137" s="108"/>
      <c r="G137" s="120">
        <v>-38923576.4</v>
      </c>
    </row>
    <row r="138" spans="1:7" ht="24" customHeight="1" outlineLevel="1">
      <c r="A138" s="109" t="s">
        <v>320</v>
      </c>
      <c r="B138" s="111"/>
      <c r="C138" s="118">
        <v>-38923576.4</v>
      </c>
      <c r="D138" s="111"/>
      <c r="E138" s="111"/>
      <c r="F138" s="111"/>
      <c r="G138" s="118">
        <v>-38923576.4</v>
      </c>
    </row>
    <row r="139" spans="1:7" ht="12" customHeight="1">
      <c r="A139" s="106" t="s">
        <v>365</v>
      </c>
      <c r="B139" s="108"/>
      <c r="C139" s="107">
        <v>524746000</v>
      </c>
      <c r="D139" s="108"/>
      <c r="E139" s="108"/>
      <c r="F139" s="108"/>
      <c r="G139" s="107">
        <v>524746000</v>
      </c>
    </row>
    <row r="140" spans="1:7" ht="12" customHeight="1" outlineLevel="1">
      <c r="A140" s="109" t="s">
        <v>366</v>
      </c>
      <c r="B140" s="111"/>
      <c r="C140" s="110">
        <v>524746000</v>
      </c>
      <c r="D140" s="111"/>
      <c r="E140" s="111"/>
      <c r="F140" s="111"/>
      <c r="G140" s="110">
        <v>524746000</v>
      </c>
    </row>
    <row r="141" spans="1:7" ht="12" customHeight="1">
      <c r="A141" s="106" t="s">
        <v>321</v>
      </c>
      <c r="B141" s="108"/>
      <c r="C141" s="107">
        <v>7754455499.2</v>
      </c>
      <c r="D141" s="107">
        <v>345004676</v>
      </c>
      <c r="E141" s="108"/>
      <c r="F141" s="108"/>
      <c r="G141" s="107">
        <v>7409450823.2</v>
      </c>
    </row>
    <row r="142" spans="1:7" ht="36" customHeight="1" outlineLevel="1">
      <c r="A142" s="109" t="s">
        <v>322</v>
      </c>
      <c r="B142" s="111"/>
      <c r="C142" s="110">
        <v>7754455499.2</v>
      </c>
      <c r="D142" s="110">
        <v>345004676</v>
      </c>
      <c r="E142" s="111"/>
      <c r="F142" s="111"/>
      <c r="G142" s="110">
        <v>7409450823.2</v>
      </c>
    </row>
    <row r="143" spans="1:7" ht="24" customHeight="1">
      <c r="A143" s="106" t="s">
        <v>323</v>
      </c>
      <c r="B143" s="108"/>
      <c r="C143" s="107">
        <v>5024691277.38</v>
      </c>
      <c r="D143" s="107">
        <v>1585046259.47</v>
      </c>
      <c r="E143" s="107">
        <v>2062001457.07</v>
      </c>
      <c r="F143" s="108"/>
      <c r="G143" s="107">
        <v>5501646474.98</v>
      </c>
    </row>
    <row r="144" spans="1:7" ht="36" customHeight="1" outlineLevel="1">
      <c r="A144" s="109" t="s">
        <v>324</v>
      </c>
      <c r="B144" s="111"/>
      <c r="C144" s="110">
        <v>1156626259.47</v>
      </c>
      <c r="D144" s="110">
        <v>1156626259.47</v>
      </c>
      <c r="E144" s="110">
        <v>560370521.6</v>
      </c>
      <c r="F144" s="111"/>
      <c r="G144" s="110">
        <v>560370521.6</v>
      </c>
    </row>
    <row r="145" spans="1:7" ht="36" customHeight="1" outlineLevel="1">
      <c r="A145" s="109" t="s">
        <v>367</v>
      </c>
      <c r="B145" s="111"/>
      <c r="C145" s="110">
        <v>3868065017.91</v>
      </c>
      <c r="D145" s="110">
        <v>428420000</v>
      </c>
      <c r="E145" s="110">
        <v>1501630935.47</v>
      </c>
      <c r="F145" s="111"/>
      <c r="G145" s="110">
        <v>4941275953.38</v>
      </c>
    </row>
    <row r="146" spans="1:7" ht="24" customHeight="1">
      <c r="A146" s="106" t="s">
        <v>325</v>
      </c>
      <c r="B146" s="108"/>
      <c r="C146" s="108"/>
      <c r="D146" s="107">
        <v>4388116675.97</v>
      </c>
      <c r="E146" s="107">
        <v>4388116675.97</v>
      </c>
      <c r="F146" s="108"/>
      <c r="G146" s="108"/>
    </row>
    <row r="147" spans="1:7" ht="24" customHeight="1" outlineLevel="1">
      <c r="A147" s="109" t="s">
        <v>326</v>
      </c>
      <c r="B147" s="111"/>
      <c r="C147" s="111"/>
      <c r="D147" s="110">
        <v>4388116675.97</v>
      </c>
      <c r="E147" s="110">
        <v>4388116675.97</v>
      </c>
      <c r="F147" s="111"/>
      <c r="G147" s="111"/>
    </row>
    <row r="148" spans="1:7" ht="24" customHeight="1">
      <c r="A148" s="106" t="s">
        <v>327</v>
      </c>
      <c r="B148" s="108"/>
      <c r="C148" s="108"/>
      <c r="D148" s="107">
        <v>4308121590.35</v>
      </c>
      <c r="E148" s="107">
        <v>4308121590.35</v>
      </c>
      <c r="F148" s="108"/>
      <c r="G148" s="108"/>
    </row>
    <row r="149" spans="1:7" ht="24" customHeight="1" outlineLevel="1">
      <c r="A149" s="109" t="s">
        <v>328</v>
      </c>
      <c r="B149" s="111"/>
      <c r="C149" s="111"/>
      <c r="D149" s="110">
        <v>4308121590.35</v>
      </c>
      <c r="E149" s="110">
        <v>4308121590.35</v>
      </c>
      <c r="F149" s="111"/>
      <c r="G149" s="111"/>
    </row>
    <row r="150" spans="1:7" ht="24" customHeight="1" outlineLevel="2">
      <c r="A150" s="115" t="s">
        <v>328</v>
      </c>
      <c r="B150" s="111"/>
      <c r="C150" s="111"/>
      <c r="D150" s="110">
        <v>356277448.88</v>
      </c>
      <c r="E150" s="110">
        <v>356277448.88</v>
      </c>
      <c r="F150" s="111"/>
      <c r="G150" s="111"/>
    </row>
    <row r="151" spans="1:7" ht="24" customHeight="1" outlineLevel="2">
      <c r="A151" s="115" t="s">
        <v>329</v>
      </c>
      <c r="B151" s="111"/>
      <c r="C151" s="111"/>
      <c r="D151" s="110">
        <v>3951844141.47</v>
      </c>
      <c r="E151" s="110">
        <v>3951844141.47</v>
      </c>
      <c r="F151" s="111"/>
      <c r="G151" s="111"/>
    </row>
    <row r="152" spans="1:7" ht="12" customHeight="1">
      <c r="A152" s="106" t="s">
        <v>378</v>
      </c>
      <c r="B152" s="108"/>
      <c r="C152" s="108"/>
      <c r="D152" s="107">
        <v>4244461.18</v>
      </c>
      <c r="E152" s="107">
        <v>4244461.18</v>
      </c>
      <c r="F152" s="108"/>
      <c r="G152" s="108"/>
    </row>
    <row r="153" spans="1:7" ht="24" customHeight="1" outlineLevel="1">
      <c r="A153" s="112" t="s">
        <v>379</v>
      </c>
      <c r="B153" s="114"/>
      <c r="C153" s="114"/>
      <c r="D153" s="113">
        <v>4244461.18</v>
      </c>
      <c r="E153" s="113">
        <v>4244461.18</v>
      </c>
      <c r="F153" s="114"/>
      <c r="G153" s="114"/>
    </row>
    <row r="154" spans="1:7" ht="48" customHeight="1" outlineLevel="2">
      <c r="A154" s="115" t="s">
        <v>380</v>
      </c>
      <c r="B154" s="111"/>
      <c r="C154" s="111"/>
      <c r="D154" s="110">
        <v>4244461.18</v>
      </c>
      <c r="E154" s="110">
        <v>4244461.18</v>
      </c>
      <c r="F154" s="111"/>
      <c r="G154" s="111"/>
    </row>
    <row r="155" spans="1:7" ht="12" customHeight="1">
      <c r="A155" s="106" t="s">
        <v>330</v>
      </c>
      <c r="B155" s="108"/>
      <c r="C155" s="108"/>
      <c r="D155" s="107">
        <v>75750624.44</v>
      </c>
      <c r="E155" s="107">
        <v>75750624.44</v>
      </c>
      <c r="F155" s="108"/>
      <c r="G155" s="108"/>
    </row>
    <row r="156" spans="1:7" ht="24" customHeight="1" outlineLevel="1">
      <c r="A156" s="109" t="s">
        <v>388</v>
      </c>
      <c r="B156" s="111"/>
      <c r="C156" s="111"/>
      <c r="D156" s="110">
        <v>598968.01</v>
      </c>
      <c r="E156" s="110">
        <v>598968.01</v>
      </c>
      <c r="F156" s="111"/>
      <c r="G156" s="111"/>
    </row>
    <row r="157" spans="1:7" ht="12" customHeight="1" outlineLevel="1">
      <c r="A157" s="109" t="s">
        <v>331</v>
      </c>
      <c r="B157" s="111"/>
      <c r="C157" s="111"/>
      <c r="D157" s="110">
        <v>75151656.43</v>
      </c>
      <c r="E157" s="110">
        <v>75151656.43</v>
      </c>
      <c r="F157" s="111"/>
      <c r="G157" s="111"/>
    </row>
    <row r="158" spans="1:7" ht="24" customHeight="1">
      <c r="A158" s="106" t="s">
        <v>332</v>
      </c>
      <c r="B158" s="108"/>
      <c r="C158" s="108"/>
      <c r="D158" s="107">
        <v>43820223.62</v>
      </c>
      <c r="E158" s="107">
        <v>43820223.62</v>
      </c>
      <c r="F158" s="108"/>
      <c r="G158" s="108"/>
    </row>
    <row r="159" spans="1:7" ht="24" customHeight="1" outlineLevel="1">
      <c r="A159" s="109" t="s">
        <v>333</v>
      </c>
      <c r="B159" s="111"/>
      <c r="C159" s="111"/>
      <c r="D159" s="110">
        <v>43820223.62</v>
      </c>
      <c r="E159" s="110">
        <v>43820223.62</v>
      </c>
      <c r="F159" s="111"/>
      <c r="G159" s="111"/>
    </row>
    <row r="160" spans="1:7" ht="24" customHeight="1">
      <c r="A160" s="106" t="s">
        <v>334</v>
      </c>
      <c r="B160" s="108"/>
      <c r="C160" s="108"/>
      <c r="D160" s="107">
        <v>417958331</v>
      </c>
      <c r="E160" s="107">
        <v>417958331</v>
      </c>
      <c r="F160" s="108"/>
      <c r="G160" s="108"/>
    </row>
    <row r="161" spans="1:7" ht="24" customHeight="1" outlineLevel="1">
      <c r="A161" s="109" t="s">
        <v>335</v>
      </c>
      <c r="B161" s="111"/>
      <c r="C161" s="111"/>
      <c r="D161" s="110">
        <v>241229265.3</v>
      </c>
      <c r="E161" s="110">
        <v>241229265.3</v>
      </c>
      <c r="F161" s="111"/>
      <c r="G161" s="111"/>
    </row>
    <row r="162" spans="1:7" ht="36" customHeight="1" outlineLevel="1">
      <c r="A162" s="109" t="s">
        <v>336</v>
      </c>
      <c r="B162" s="111"/>
      <c r="C162" s="111"/>
      <c r="D162" s="110">
        <v>161901158.9</v>
      </c>
      <c r="E162" s="110">
        <v>161901158.9</v>
      </c>
      <c r="F162" s="111"/>
      <c r="G162" s="111"/>
    </row>
    <row r="163" spans="1:7" ht="36" customHeight="1" outlineLevel="1">
      <c r="A163" s="109" t="s">
        <v>337</v>
      </c>
      <c r="B163" s="111"/>
      <c r="C163" s="111"/>
      <c r="D163" s="110">
        <v>14827906.8</v>
      </c>
      <c r="E163" s="110">
        <v>14827906.8</v>
      </c>
      <c r="F163" s="111"/>
      <c r="G163" s="111"/>
    </row>
    <row r="164" spans="1:7" ht="24" customHeight="1">
      <c r="A164" s="106" t="s">
        <v>338</v>
      </c>
      <c r="B164" s="108"/>
      <c r="C164" s="108"/>
      <c r="D164" s="107">
        <v>144583171.55</v>
      </c>
      <c r="E164" s="107">
        <v>144583171.55</v>
      </c>
      <c r="F164" s="108"/>
      <c r="G164" s="108"/>
    </row>
    <row r="165" spans="1:7" ht="24" customHeight="1" outlineLevel="1">
      <c r="A165" s="112" t="s">
        <v>339</v>
      </c>
      <c r="B165" s="114"/>
      <c r="C165" s="114"/>
      <c r="D165" s="113">
        <v>73284437.55</v>
      </c>
      <c r="E165" s="113">
        <v>73284437.55</v>
      </c>
      <c r="F165" s="114"/>
      <c r="G165" s="114"/>
    </row>
    <row r="166" spans="1:7" ht="48" customHeight="1" outlineLevel="2">
      <c r="A166" s="115" t="s">
        <v>340</v>
      </c>
      <c r="B166" s="111"/>
      <c r="C166" s="111"/>
      <c r="D166" s="110">
        <v>73284437.55</v>
      </c>
      <c r="E166" s="110">
        <v>73284437.55</v>
      </c>
      <c r="F166" s="111"/>
      <c r="G166" s="111"/>
    </row>
    <row r="167" spans="1:7" ht="24" customHeight="1" outlineLevel="1">
      <c r="A167" s="109" t="s">
        <v>341</v>
      </c>
      <c r="B167" s="111"/>
      <c r="C167" s="111"/>
      <c r="D167" s="110">
        <v>71298734</v>
      </c>
      <c r="E167" s="110">
        <v>71298734</v>
      </c>
      <c r="F167" s="111"/>
      <c r="G167" s="111"/>
    </row>
    <row r="168" spans="1:7" ht="12" customHeight="1">
      <c r="A168" s="106" t="s">
        <v>342</v>
      </c>
      <c r="B168" s="108"/>
      <c r="C168" s="108"/>
      <c r="D168" s="107">
        <v>1858233.49</v>
      </c>
      <c r="E168" s="107">
        <v>1858233.49</v>
      </c>
      <c r="F168" s="108"/>
      <c r="G168" s="108"/>
    </row>
    <row r="169" spans="1:7" ht="24" customHeight="1" outlineLevel="1">
      <c r="A169" s="112" t="s">
        <v>343</v>
      </c>
      <c r="B169" s="114"/>
      <c r="C169" s="114"/>
      <c r="D169" s="113">
        <v>1980323.4</v>
      </c>
      <c r="E169" s="113">
        <v>1980323.4</v>
      </c>
      <c r="F169" s="114"/>
      <c r="G169" s="114"/>
    </row>
    <row r="170" spans="1:7" ht="24" customHeight="1" outlineLevel="2">
      <c r="A170" s="115" t="s">
        <v>344</v>
      </c>
      <c r="B170" s="111"/>
      <c r="C170" s="111"/>
      <c r="D170" s="110">
        <v>1980323.4</v>
      </c>
      <c r="E170" s="110">
        <v>1980323.4</v>
      </c>
      <c r="F170" s="111"/>
      <c r="G170" s="111"/>
    </row>
    <row r="171" spans="1:7" ht="36" customHeight="1" outlineLevel="1">
      <c r="A171" s="109" t="s">
        <v>389</v>
      </c>
      <c r="B171" s="111"/>
      <c r="C171" s="111"/>
      <c r="D171" s="118">
        <v>-149540.29</v>
      </c>
      <c r="E171" s="118">
        <v>-149540.29</v>
      </c>
      <c r="F171" s="111"/>
      <c r="G171" s="111"/>
    </row>
    <row r="172" spans="1:7" ht="12" customHeight="1" outlineLevel="1">
      <c r="A172" s="109" t="s">
        <v>390</v>
      </c>
      <c r="B172" s="111"/>
      <c r="C172" s="111"/>
      <c r="D172" s="110">
        <v>27450.38</v>
      </c>
      <c r="E172" s="110">
        <v>27450.38</v>
      </c>
      <c r="F172" s="111"/>
      <c r="G172" s="111"/>
    </row>
    <row r="173" spans="1:7" ht="36" customHeight="1">
      <c r="A173" s="106" t="s">
        <v>345</v>
      </c>
      <c r="B173" s="108"/>
      <c r="C173" s="108"/>
      <c r="D173" s="107">
        <v>132196869</v>
      </c>
      <c r="E173" s="107">
        <v>132196869</v>
      </c>
      <c r="F173" s="108"/>
      <c r="G173" s="108"/>
    </row>
    <row r="174" spans="1:7" ht="36" customHeight="1" outlineLevel="1">
      <c r="A174" s="112" t="s">
        <v>346</v>
      </c>
      <c r="B174" s="114"/>
      <c r="C174" s="114"/>
      <c r="D174" s="113">
        <v>132196869</v>
      </c>
      <c r="E174" s="113">
        <v>132196869</v>
      </c>
      <c r="F174" s="114"/>
      <c r="G174" s="114"/>
    </row>
    <row r="175" spans="1:7" ht="48" customHeight="1" outlineLevel="2">
      <c r="A175" s="115" t="s">
        <v>391</v>
      </c>
      <c r="B175" s="111"/>
      <c r="C175" s="111"/>
      <c r="D175" s="118">
        <v>-23615104</v>
      </c>
      <c r="E175" s="118">
        <v>-23615104</v>
      </c>
      <c r="F175" s="111"/>
      <c r="G175" s="111"/>
    </row>
    <row r="176" spans="1:7" ht="48" customHeight="1" outlineLevel="2">
      <c r="A176" s="115" t="s">
        <v>347</v>
      </c>
      <c r="B176" s="111"/>
      <c r="C176" s="111"/>
      <c r="D176" s="110">
        <v>155811973</v>
      </c>
      <c r="E176" s="110">
        <v>155811973</v>
      </c>
      <c r="F176" s="111"/>
      <c r="G176" s="111"/>
    </row>
    <row r="177" spans="1:7" ht="12" customHeight="1">
      <c r="A177" s="106" t="s">
        <v>348</v>
      </c>
      <c r="B177" s="108"/>
      <c r="C177" s="108"/>
      <c r="D177" s="107">
        <v>1143604669.31</v>
      </c>
      <c r="E177" s="107">
        <v>1143604669.31</v>
      </c>
      <c r="F177" s="108"/>
      <c r="G177" s="108"/>
    </row>
    <row r="178" spans="1:7" ht="12" customHeight="1" outlineLevel="1">
      <c r="A178" s="109" t="s">
        <v>349</v>
      </c>
      <c r="B178" s="111"/>
      <c r="C178" s="111"/>
      <c r="D178" s="110">
        <v>1122168550.31</v>
      </c>
      <c r="E178" s="110">
        <v>1122168550.31</v>
      </c>
      <c r="F178" s="111"/>
      <c r="G178" s="111"/>
    </row>
    <row r="179" spans="1:7" ht="24" customHeight="1" outlineLevel="1">
      <c r="A179" s="109" t="s">
        <v>350</v>
      </c>
      <c r="B179" s="111"/>
      <c r="C179" s="111"/>
      <c r="D179" s="110">
        <v>2130871</v>
      </c>
      <c r="E179" s="110">
        <v>2130871</v>
      </c>
      <c r="F179" s="111"/>
      <c r="G179" s="111"/>
    </row>
    <row r="180" spans="1:7" ht="24" customHeight="1" outlineLevel="1">
      <c r="A180" s="109" t="s">
        <v>351</v>
      </c>
      <c r="B180" s="111"/>
      <c r="C180" s="111"/>
      <c r="D180" s="110">
        <v>19305248</v>
      </c>
      <c r="E180" s="110">
        <v>19305248</v>
      </c>
      <c r="F180" s="111"/>
      <c r="G180" s="111"/>
    </row>
    <row r="181" spans="1:7" ht="24" customHeight="1">
      <c r="A181" s="106" t="s">
        <v>352</v>
      </c>
      <c r="B181" s="108"/>
      <c r="C181" s="108"/>
      <c r="D181" s="107">
        <v>46394303.21</v>
      </c>
      <c r="E181" s="107">
        <v>46394303.21</v>
      </c>
      <c r="F181" s="108"/>
      <c r="G181" s="108"/>
    </row>
    <row r="182" spans="1:7" ht="24" customHeight="1" outlineLevel="1">
      <c r="A182" s="109" t="s">
        <v>353</v>
      </c>
      <c r="B182" s="111"/>
      <c r="C182" s="111"/>
      <c r="D182" s="110">
        <v>46394303.21</v>
      </c>
      <c r="E182" s="110">
        <v>46394303.21</v>
      </c>
      <c r="F182" s="111"/>
      <c r="G182" s="111"/>
    </row>
    <row r="183" spans="1:7" ht="12" customHeight="1">
      <c r="A183" s="106" t="s">
        <v>354</v>
      </c>
      <c r="B183" s="108"/>
      <c r="C183" s="108"/>
      <c r="D183" s="107">
        <v>1897330353.19</v>
      </c>
      <c r="E183" s="107">
        <v>1897330353.19</v>
      </c>
      <c r="F183" s="108"/>
      <c r="G183" s="108"/>
    </row>
    <row r="184" spans="1:7" ht="12" customHeight="1" outlineLevel="1">
      <c r="A184" s="109" t="s">
        <v>355</v>
      </c>
      <c r="B184" s="111"/>
      <c r="C184" s="111"/>
      <c r="D184" s="110">
        <v>1744790794.88</v>
      </c>
      <c r="E184" s="110">
        <v>1744790794.88</v>
      </c>
      <c r="F184" s="111"/>
      <c r="G184" s="111"/>
    </row>
    <row r="185" spans="1:7" ht="36" customHeight="1" outlineLevel="1">
      <c r="A185" s="112" t="s">
        <v>356</v>
      </c>
      <c r="B185" s="114"/>
      <c r="C185" s="114"/>
      <c r="D185" s="113">
        <v>152539558.31</v>
      </c>
      <c r="E185" s="113">
        <v>152539558.31</v>
      </c>
      <c r="F185" s="114"/>
      <c r="G185" s="114"/>
    </row>
    <row r="186" spans="1:7" ht="24" customHeight="1" outlineLevel="2">
      <c r="A186" s="115" t="s">
        <v>357</v>
      </c>
      <c r="B186" s="111"/>
      <c r="C186" s="111"/>
      <c r="D186" s="110">
        <v>5610898.82</v>
      </c>
      <c r="E186" s="110">
        <v>5610898.82</v>
      </c>
      <c r="F186" s="111"/>
      <c r="G186" s="111"/>
    </row>
    <row r="187" spans="1:7" ht="24" customHeight="1" outlineLevel="2">
      <c r="A187" s="115" t="s">
        <v>358</v>
      </c>
      <c r="B187" s="111"/>
      <c r="C187" s="111"/>
      <c r="D187" s="110">
        <v>9911687.08</v>
      </c>
      <c r="E187" s="110">
        <v>9911687.08</v>
      </c>
      <c r="F187" s="111"/>
      <c r="G187" s="111"/>
    </row>
    <row r="188" spans="1:7" ht="24" customHeight="1" outlineLevel="2">
      <c r="A188" s="115" t="s">
        <v>359</v>
      </c>
      <c r="B188" s="111"/>
      <c r="C188" s="111"/>
      <c r="D188" s="110">
        <v>137016972.41</v>
      </c>
      <c r="E188" s="110">
        <v>137016972.41</v>
      </c>
      <c r="F188" s="111"/>
      <c r="G188" s="111"/>
    </row>
    <row r="189" spans="1:7" ht="12" customHeight="1">
      <c r="A189" s="121" t="s">
        <v>77</v>
      </c>
      <c r="B189" s="122">
        <v>25481536561.7</v>
      </c>
      <c r="C189" s="122">
        <v>25481536561.7</v>
      </c>
      <c r="D189" s="122">
        <v>48988579387.7</v>
      </c>
      <c r="E189" s="122">
        <v>48988579387.7</v>
      </c>
      <c r="F189" s="122">
        <v>23845537302.98</v>
      </c>
      <c r="G189" s="122">
        <v>23845537302.98</v>
      </c>
    </row>
    <row r="193" ht="12.75">
      <c r="F193" s="91">
        <f>F189-F57</f>
        <v>23750310563.079998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9"/>
  <sheetViews>
    <sheetView zoomScalePageLayoutView="0" workbookViewId="0" topLeftCell="A106">
      <selection activeCell="G143" sqref="G143"/>
    </sheetView>
  </sheetViews>
  <sheetFormatPr defaultColWidth="8.75390625" defaultRowHeight="12.75" outlineLevelRow="2"/>
  <cols>
    <col min="1" max="1" width="30.875" style="89" customWidth="1"/>
    <col min="2" max="2" width="19.25390625" style="89" customWidth="1"/>
    <col min="3" max="5" width="16.125" style="89" customWidth="1"/>
    <col min="6" max="6" width="21.625" style="89" customWidth="1"/>
    <col min="7" max="7" width="16.125" style="89" customWidth="1"/>
    <col min="8" max="8" width="8.75390625" style="0" customWidth="1"/>
    <col min="9" max="9" width="13.625" style="0" bestFit="1" customWidth="1"/>
    <col min="10" max="10" width="15.00390625" style="0" bestFit="1" customWidth="1"/>
    <col min="11" max="11" width="9.00390625" style="0" bestFit="1" customWidth="1"/>
    <col min="12" max="12" width="8.75390625" style="0" customWidth="1"/>
    <col min="13" max="13" width="9.00390625" style="0" bestFit="1" customWidth="1"/>
  </cols>
  <sheetData>
    <row r="1" ht="12.75" customHeight="1">
      <c r="A1" s="88" t="s">
        <v>195</v>
      </c>
    </row>
    <row r="2" ht="15.75" customHeight="1">
      <c r="A2" s="90" t="s">
        <v>383</v>
      </c>
    </row>
    <row r="3" spans="1:2" ht="10.5" customHeight="1">
      <c r="A3" s="89" t="s">
        <v>196</v>
      </c>
      <c r="B3" s="89" t="s">
        <v>197</v>
      </c>
    </row>
    <row r="4" spans="1:7" ht="12" customHeight="1">
      <c r="A4" s="377" t="s">
        <v>198</v>
      </c>
      <c r="B4" s="378" t="s">
        <v>199</v>
      </c>
      <c r="C4" s="378"/>
      <c r="D4" s="378" t="s">
        <v>200</v>
      </c>
      <c r="E4" s="378"/>
      <c r="F4" s="378" t="s">
        <v>201</v>
      </c>
      <c r="G4" s="378"/>
    </row>
    <row r="5" spans="1:7" ht="12" customHeight="1">
      <c r="A5" s="377"/>
      <c r="B5" s="105" t="s">
        <v>191</v>
      </c>
      <c r="C5" s="105" t="s">
        <v>192</v>
      </c>
      <c r="D5" s="105" t="s">
        <v>191</v>
      </c>
      <c r="E5" s="105" t="s">
        <v>192</v>
      </c>
      <c r="F5" s="105" t="s">
        <v>191</v>
      </c>
      <c r="G5" s="105" t="s">
        <v>192</v>
      </c>
    </row>
    <row r="6" spans="1:9" ht="12" customHeight="1">
      <c r="A6" s="106" t="s">
        <v>202</v>
      </c>
      <c r="B6" s="107">
        <v>1720310395.96</v>
      </c>
      <c r="C6" s="108"/>
      <c r="D6" s="107">
        <v>11819384176.95</v>
      </c>
      <c r="E6" s="107">
        <v>12901812427.8</v>
      </c>
      <c r="F6" s="107">
        <v>637882145.11</v>
      </c>
      <c r="G6" s="108"/>
      <c r="I6" s="123">
        <v>637882145.11</v>
      </c>
    </row>
    <row r="7" spans="1:9" ht="24" customHeight="1" outlineLevel="1">
      <c r="A7" s="109" t="s">
        <v>203</v>
      </c>
      <c r="B7" s="110">
        <v>272999.13</v>
      </c>
      <c r="C7" s="111"/>
      <c r="D7" s="110">
        <v>32617736.32</v>
      </c>
      <c r="E7" s="110">
        <v>31934167.21</v>
      </c>
      <c r="F7" s="110">
        <v>956568.24</v>
      </c>
      <c r="G7" s="111"/>
      <c r="I7" s="124">
        <v>956568.24</v>
      </c>
    </row>
    <row r="8" spans="1:9" ht="24" customHeight="1" outlineLevel="1">
      <c r="A8" s="112" t="s">
        <v>204</v>
      </c>
      <c r="B8" s="113">
        <v>19156927.68</v>
      </c>
      <c r="C8" s="114"/>
      <c r="D8" s="114"/>
      <c r="E8" s="113">
        <v>17156927.68</v>
      </c>
      <c r="F8" s="113">
        <v>2000000</v>
      </c>
      <c r="G8" s="114"/>
      <c r="I8" s="125">
        <v>2000000</v>
      </c>
    </row>
    <row r="9" spans="1:9" ht="24" customHeight="1" outlineLevel="2">
      <c r="A9" s="115" t="s">
        <v>205</v>
      </c>
      <c r="B9" s="110">
        <v>19156927.68</v>
      </c>
      <c r="C9" s="111"/>
      <c r="D9" s="111"/>
      <c r="E9" s="110">
        <v>17156927.68</v>
      </c>
      <c r="F9" s="110">
        <v>2000000</v>
      </c>
      <c r="G9" s="111"/>
      <c r="I9" s="124">
        <v>2000000</v>
      </c>
    </row>
    <row r="10" spans="1:9" ht="24" customHeight="1" outlineLevel="1">
      <c r="A10" s="112" t="s">
        <v>206</v>
      </c>
      <c r="B10" s="113">
        <v>1700880469.15</v>
      </c>
      <c r="C10" s="114"/>
      <c r="D10" s="113">
        <v>8861766440.63</v>
      </c>
      <c r="E10" s="113">
        <v>9927721332.91</v>
      </c>
      <c r="F10" s="113">
        <v>634925576.87</v>
      </c>
      <c r="G10" s="114"/>
      <c r="I10" s="125">
        <v>634925576.87</v>
      </c>
    </row>
    <row r="11" spans="1:9" ht="24" customHeight="1" outlineLevel="2">
      <c r="A11" s="115" t="s">
        <v>207</v>
      </c>
      <c r="B11" s="110">
        <v>1700880469.15</v>
      </c>
      <c r="C11" s="111"/>
      <c r="D11" s="110">
        <v>8861766440.63</v>
      </c>
      <c r="E11" s="110">
        <v>9927721332.91</v>
      </c>
      <c r="F11" s="110">
        <v>634925576.87</v>
      </c>
      <c r="G11" s="111"/>
      <c r="I11" s="124">
        <v>634925576.87</v>
      </c>
    </row>
    <row r="12" spans="1:9" ht="24" customHeight="1" outlineLevel="1">
      <c r="A12" s="112" t="s">
        <v>384</v>
      </c>
      <c r="B12" s="114"/>
      <c r="C12" s="114"/>
      <c r="D12" s="113">
        <v>2925000000</v>
      </c>
      <c r="E12" s="113">
        <v>2925000000</v>
      </c>
      <c r="F12" s="114"/>
      <c r="G12" s="114"/>
      <c r="I12" s="126"/>
    </row>
    <row r="13" spans="1:9" ht="36" customHeight="1" outlineLevel="2">
      <c r="A13" s="115" t="s">
        <v>385</v>
      </c>
      <c r="B13" s="111"/>
      <c r="C13" s="111"/>
      <c r="D13" s="110">
        <v>2925000000</v>
      </c>
      <c r="E13" s="110">
        <v>2925000000</v>
      </c>
      <c r="F13" s="111"/>
      <c r="G13" s="111"/>
      <c r="I13" s="127"/>
    </row>
    <row r="14" spans="1:9" ht="24" customHeight="1">
      <c r="A14" s="106" t="s">
        <v>208</v>
      </c>
      <c r="B14" s="107">
        <v>218607842.51</v>
      </c>
      <c r="C14" s="108"/>
      <c r="D14" s="107">
        <v>5275628379.14</v>
      </c>
      <c r="E14" s="107">
        <v>5271256911.730001</v>
      </c>
      <c r="F14" s="107">
        <v>222979309.92</v>
      </c>
      <c r="G14" s="108"/>
      <c r="I14" s="123">
        <v>222960741.69</v>
      </c>
    </row>
    <row r="15" spans="1:9" ht="24" customHeight="1" outlineLevel="1">
      <c r="A15" s="109" t="s">
        <v>209</v>
      </c>
      <c r="B15" s="110">
        <v>17516139.74</v>
      </c>
      <c r="C15" s="111"/>
      <c r="D15" s="110">
        <v>26356056.11</v>
      </c>
      <c r="E15" s="110">
        <v>13877098.65</v>
      </c>
      <c r="F15" s="110">
        <v>29995097.2</v>
      </c>
      <c r="G15" s="111"/>
      <c r="I15" s="124">
        <v>29995097.2</v>
      </c>
    </row>
    <row r="16" spans="1:9" ht="24" customHeight="1" outlineLevel="1">
      <c r="A16" s="109" t="s">
        <v>210</v>
      </c>
      <c r="B16" s="111"/>
      <c r="C16" s="111"/>
      <c r="D16" s="110">
        <v>68592</v>
      </c>
      <c r="E16" s="110">
        <v>67979.57</v>
      </c>
      <c r="F16" s="116">
        <v>612.43</v>
      </c>
      <c r="G16" s="111"/>
      <c r="I16" s="128">
        <v>612.43</v>
      </c>
    </row>
    <row r="17" spans="1:11" ht="36" customHeight="1" outlineLevel="1">
      <c r="A17" s="112" t="s">
        <v>211</v>
      </c>
      <c r="B17" s="113">
        <v>204392277.75</v>
      </c>
      <c r="C17" s="114"/>
      <c r="D17" s="113">
        <v>5070900739.990001</v>
      </c>
      <c r="E17" s="113">
        <v>5071189901.33</v>
      </c>
      <c r="F17" s="113">
        <v>204103116.41</v>
      </c>
      <c r="G17" s="114"/>
      <c r="I17" s="125">
        <v>204084548.18</v>
      </c>
      <c r="K17" s="51">
        <f>F17-I17</f>
        <v>18568.22999998927</v>
      </c>
    </row>
    <row r="18" spans="1:9" ht="36" customHeight="1" outlineLevel="2">
      <c r="A18" s="115" t="s">
        <v>212</v>
      </c>
      <c r="B18" s="110">
        <v>204392277.75</v>
      </c>
      <c r="C18" s="111"/>
      <c r="D18" s="110">
        <v>5070900739.990001</v>
      </c>
      <c r="E18" s="110">
        <v>5071189901.33</v>
      </c>
      <c r="F18" s="110">
        <v>204103116.41</v>
      </c>
      <c r="G18" s="111"/>
      <c r="I18" s="124">
        <v>204084548.18</v>
      </c>
    </row>
    <row r="19" spans="1:9" ht="36" customHeight="1" outlineLevel="1">
      <c r="A19" s="112" t="s">
        <v>213</v>
      </c>
      <c r="B19" s="113">
        <v>1351187.53</v>
      </c>
      <c r="C19" s="114"/>
      <c r="D19" s="113">
        <v>39594361.95</v>
      </c>
      <c r="E19" s="113">
        <v>39750092.39</v>
      </c>
      <c r="F19" s="113">
        <v>1195457.09</v>
      </c>
      <c r="G19" s="114"/>
      <c r="I19" s="125">
        <v>1195457.09</v>
      </c>
    </row>
    <row r="20" spans="1:9" ht="36" customHeight="1" outlineLevel="2">
      <c r="A20" s="115" t="s">
        <v>214</v>
      </c>
      <c r="B20" s="110">
        <v>1200341.61</v>
      </c>
      <c r="C20" s="111"/>
      <c r="D20" s="110">
        <v>39049222.95</v>
      </c>
      <c r="E20" s="110">
        <v>39545084.56</v>
      </c>
      <c r="F20" s="110">
        <v>704480</v>
      </c>
      <c r="G20" s="111"/>
      <c r="I20" s="124">
        <v>704480</v>
      </c>
    </row>
    <row r="21" spans="1:9" ht="36" customHeight="1" outlineLevel="2">
      <c r="A21" s="115" t="s">
        <v>215</v>
      </c>
      <c r="B21" s="110">
        <v>150845.92</v>
      </c>
      <c r="C21" s="111"/>
      <c r="D21" s="110">
        <v>391282</v>
      </c>
      <c r="E21" s="110">
        <v>51150.83</v>
      </c>
      <c r="F21" s="110">
        <v>490977.09</v>
      </c>
      <c r="G21" s="111"/>
      <c r="I21" s="124">
        <v>490977.09</v>
      </c>
    </row>
    <row r="22" spans="1:9" ht="36" customHeight="1" outlineLevel="2">
      <c r="A22" s="115" t="s">
        <v>216</v>
      </c>
      <c r="B22" s="111"/>
      <c r="C22" s="111"/>
      <c r="D22" s="110">
        <v>153857</v>
      </c>
      <c r="E22" s="110">
        <v>153857</v>
      </c>
      <c r="F22" s="111"/>
      <c r="G22" s="111"/>
      <c r="I22" s="127"/>
    </row>
    <row r="23" spans="1:9" ht="24" customHeight="1" outlineLevel="1">
      <c r="A23" s="112" t="s">
        <v>386</v>
      </c>
      <c r="B23" s="114"/>
      <c r="C23" s="114"/>
      <c r="D23" s="113">
        <v>874791.67</v>
      </c>
      <c r="E23" s="113">
        <v>874791.67</v>
      </c>
      <c r="F23" s="114"/>
      <c r="G23" s="114"/>
      <c r="I23" s="126"/>
    </row>
    <row r="24" spans="1:9" ht="36" customHeight="1" outlineLevel="2">
      <c r="A24" s="115" t="s">
        <v>387</v>
      </c>
      <c r="B24" s="111"/>
      <c r="C24" s="111"/>
      <c r="D24" s="110">
        <v>874791.67</v>
      </c>
      <c r="E24" s="110">
        <v>874791.67</v>
      </c>
      <c r="F24" s="111"/>
      <c r="G24" s="111"/>
      <c r="I24" s="127"/>
    </row>
    <row r="25" spans="1:9" ht="24" customHeight="1" outlineLevel="1">
      <c r="A25" s="109" t="s">
        <v>217</v>
      </c>
      <c r="B25" s="110">
        <v>24581809.39</v>
      </c>
      <c r="C25" s="111"/>
      <c r="D25" s="110">
        <v>137833837.42</v>
      </c>
      <c r="E25" s="110">
        <v>134962908.63</v>
      </c>
      <c r="F25" s="110">
        <v>27452738.18</v>
      </c>
      <c r="G25" s="111"/>
      <c r="I25" s="124">
        <v>27452738.18</v>
      </c>
    </row>
    <row r="26" spans="1:9" ht="24" customHeight="1" outlineLevel="2">
      <c r="A26" s="115" t="s">
        <v>217</v>
      </c>
      <c r="B26" s="110">
        <v>12821531.16</v>
      </c>
      <c r="C26" s="111"/>
      <c r="D26" s="110">
        <v>134760090.95</v>
      </c>
      <c r="E26" s="110">
        <v>134962908.91</v>
      </c>
      <c r="F26" s="110">
        <v>12618713.2</v>
      </c>
      <c r="G26" s="111"/>
      <c r="I26" s="124">
        <v>12618713.2</v>
      </c>
    </row>
    <row r="27" spans="1:9" ht="24" customHeight="1" outlineLevel="2">
      <c r="A27" s="115" t="s">
        <v>368</v>
      </c>
      <c r="B27" s="110">
        <v>9372119.23</v>
      </c>
      <c r="C27" s="111"/>
      <c r="D27" s="110">
        <v>3073746.47</v>
      </c>
      <c r="E27" s="111"/>
      <c r="F27" s="110">
        <v>12445865.7</v>
      </c>
      <c r="G27" s="111"/>
      <c r="I27" s="124">
        <v>12445865.7</v>
      </c>
    </row>
    <row r="28" spans="1:9" ht="24" customHeight="1" outlineLevel="2">
      <c r="A28" s="115" t="s">
        <v>218</v>
      </c>
      <c r="B28" s="110">
        <v>2388159</v>
      </c>
      <c r="C28" s="111"/>
      <c r="D28" s="111"/>
      <c r="E28" s="117">
        <v>-0.28</v>
      </c>
      <c r="F28" s="110">
        <v>2388159.28</v>
      </c>
      <c r="G28" s="111"/>
      <c r="I28" s="124">
        <v>2388159.28</v>
      </c>
    </row>
    <row r="29" spans="1:9" ht="24" customHeight="1" outlineLevel="1">
      <c r="A29" s="112" t="s">
        <v>219</v>
      </c>
      <c r="B29" s="114"/>
      <c r="C29" s="113">
        <v>29233571.9</v>
      </c>
      <c r="D29" s="114"/>
      <c r="E29" s="113">
        <v>10534139.49</v>
      </c>
      <c r="F29" s="114"/>
      <c r="G29" s="113">
        <v>39767711.39</v>
      </c>
      <c r="I29" s="126"/>
    </row>
    <row r="30" spans="1:9" ht="58.5" customHeight="1" outlineLevel="2">
      <c r="A30" s="115" t="s">
        <v>362</v>
      </c>
      <c r="B30" s="111"/>
      <c r="C30" s="110">
        <v>22769018.21</v>
      </c>
      <c r="D30" s="111"/>
      <c r="E30" s="110">
        <v>10534139.49</v>
      </c>
      <c r="F30" s="111"/>
      <c r="G30" s="110">
        <v>33303157.7</v>
      </c>
      <c r="I30" s="127"/>
    </row>
    <row r="31" spans="1:9" ht="58.5" customHeight="1" outlineLevel="2">
      <c r="A31" s="115" t="s">
        <v>363</v>
      </c>
      <c r="B31" s="111"/>
      <c r="C31" s="110">
        <v>6464553.69</v>
      </c>
      <c r="D31" s="111"/>
      <c r="E31" s="111"/>
      <c r="F31" s="111"/>
      <c r="G31" s="110">
        <v>6464553.69</v>
      </c>
      <c r="I31" s="127"/>
    </row>
    <row r="32" spans="1:9" ht="12" customHeight="1">
      <c r="A32" s="106" t="s">
        <v>220</v>
      </c>
      <c r="B32" s="107">
        <v>209302910.32</v>
      </c>
      <c r="C32" s="108"/>
      <c r="D32" s="107">
        <v>1696419434.71</v>
      </c>
      <c r="E32" s="107">
        <v>1588768271.71</v>
      </c>
      <c r="F32" s="107">
        <v>316954073.32</v>
      </c>
      <c r="G32" s="108"/>
      <c r="I32" s="123">
        <v>316954073.32</v>
      </c>
    </row>
    <row r="33" spans="1:9" ht="12" customHeight="1" outlineLevel="1">
      <c r="A33" s="112" t="s">
        <v>221</v>
      </c>
      <c r="B33" s="113">
        <v>209259712.67</v>
      </c>
      <c r="C33" s="114"/>
      <c r="D33" s="113">
        <v>358039051.37</v>
      </c>
      <c r="E33" s="113">
        <v>250451425.98</v>
      </c>
      <c r="F33" s="113">
        <v>316847338.06</v>
      </c>
      <c r="G33" s="114"/>
      <c r="I33" s="125">
        <v>316847338.06</v>
      </c>
    </row>
    <row r="34" spans="1:9" ht="12" customHeight="1" outlineLevel="2">
      <c r="A34" s="115" t="s">
        <v>222</v>
      </c>
      <c r="B34" s="110">
        <v>176712696.49</v>
      </c>
      <c r="C34" s="111"/>
      <c r="D34" s="110">
        <v>220837766.28</v>
      </c>
      <c r="E34" s="110">
        <v>150621255.25</v>
      </c>
      <c r="F34" s="110">
        <v>246929207.52</v>
      </c>
      <c r="G34" s="111"/>
      <c r="I34" s="124">
        <v>246929207.52</v>
      </c>
    </row>
    <row r="35" spans="1:9" ht="12" customHeight="1" outlineLevel="2">
      <c r="A35" s="115" t="s">
        <v>223</v>
      </c>
      <c r="B35" s="110">
        <v>2898906.65</v>
      </c>
      <c r="C35" s="111"/>
      <c r="D35" s="110">
        <v>99728161.96</v>
      </c>
      <c r="E35" s="110">
        <v>73080910.92</v>
      </c>
      <c r="F35" s="110">
        <v>29546157.69</v>
      </c>
      <c r="G35" s="111"/>
      <c r="I35" s="124">
        <v>29546157.69</v>
      </c>
    </row>
    <row r="36" spans="1:9" ht="12" customHeight="1" outlineLevel="2">
      <c r="A36" s="115" t="s">
        <v>224</v>
      </c>
      <c r="B36" s="110">
        <v>8900605.9</v>
      </c>
      <c r="C36" s="111"/>
      <c r="D36" s="110">
        <v>10002803.41</v>
      </c>
      <c r="E36" s="110">
        <v>9641014.01</v>
      </c>
      <c r="F36" s="110">
        <v>9262395.3</v>
      </c>
      <c r="G36" s="111"/>
      <c r="I36" s="124">
        <v>9262395.3</v>
      </c>
    </row>
    <row r="37" spans="1:9" ht="24" customHeight="1" outlineLevel="2">
      <c r="A37" s="115" t="s">
        <v>225</v>
      </c>
      <c r="B37" s="110">
        <v>13471238.32</v>
      </c>
      <c r="C37" s="111"/>
      <c r="D37" s="110">
        <v>11916540.72</v>
      </c>
      <c r="E37" s="110">
        <v>6299645.54</v>
      </c>
      <c r="F37" s="110">
        <v>19088133.5</v>
      </c>
      <c r="G37" s="111"/>
      <c r="I37" s="124">
        <v>19088133.5</v>
      </c>
    </row>
    <row r="38" spans="1:9" ht="24" customHeight="1" outlineLevel="2">
      <c r="A38" s="115" t="s">
        <v>226</v>
      </c>
      <c r="B38" s="110">
        <v>15917854.4</v>
      </c>
      <c r="C38" s="111"/>
      <c r="D38" s="110">
        <v>15553779</v>
      </c>
      <c r="E38" s="110">
        <v>10958140.55</v>
      </c>
      <c r="F38" s="110">
        <v>20513492.85</v>
      </c>
      <c r="G38" s="111"/>
      <c r="I38" s="124">
        <v>20513492.85</v>
      </c>
    </row>
    <row r="39" spans="1:9" ht="24" customHeight="1" outlineLevel="2">
      <c r="A39" s="115" t="s">
        <v>227</v>
      </c>
      <c r="B39" s="118">
        <v>-8641589.09</v>
      </c>
      <c r="C39" s="111"/>
      <c r="D39" s="111"/>
      <c r="E39" s="118">
        <v>-149540.29</v>
      </c>
      <c r="F39" s="118">
        <v>-8492048.8</v>
      </c>
      <c r="G39" s="111"/>
      <c r="I39" s="129">
        <v>-8492048.8</v>
      </c>
    </row>
    <row r="40" spans="1:9" ht="12" customHeight="1" outlineLevel="1">
      <c r="A40" s="109" t="s">
        <v>228</v>
      </c>
      <c r="B40" s="111"/>
      <c r="C40" s="111"/>
      <c r="D40" s="110">
        <v>1337618789.6</v>
      </c>
      <c r="E40" s="110">
        <v>1337618789.6</v>
      </c>
      <c r="F40" s="111"/>
      <c r="G40" s="111"/>
      <c r="I40" s="127"/>
    </row>
    <row r="41" spans="1:9" ht="24" customHeight="1" outlineLevel="2">
      <c r="A41" s="115" t="s">
        <v>229</v>
      </c>
      <c r="B41" s="111"/>
      <c r="C41" s="111"/>
      <c r="D41" s="110">
        <v>1337618789.6</v>
      </c>
      <c r="E41" s="110">
        <v>1337618789.6</v>
      </c>
      <c r="F41" s="111"/>
      <c r="G41" s="111"/>
      <c r="I41" s="127"/>
    </row>
    <row r="42" spans="1:9" ht="12" customHeight="1" outlineLevel="1">
      <c r="A42" s="109" t="s">
        <v>230</v>
      </c>
      <c r="B42" s="110">
        <v>43197.65</v>
      </c>
      <c r="C42" s="111"/>
      <c r="D42" s="110">
        <v>761593.74</v>
      </c>
      <c r="E42" s="110">
        <v>698056.13</v>
      </c>
      <c r="F42" s="110">
        <v>106735.26</v>
      </c>
      <c r="G42" s="111"/>
      <c r="I42" s="124">
        <v>106735.26</v>
      </c>
    </row>
    <row r="43" spans="1:9" ht="12" customHeight="1">
      <c r="A43" s="106" t="s">
        <v>231</v>
      </c>
      <c r="B43" s="107">
        <v>284516047.67</v>
      </c>
      <c r="C43" s="108"/>
      <c r="D43" s="107">
        <v>286340004.87</v>
      </c>
      <c r="E43" s="107">
        <v>565713365.41</v>
      </c>
      <c r="F43" s="107">
        <v>5142687.13</v>
      </c>
      <c r="G43" s="108"/>
      <c r="I43" s="123">
        <v>5142687.13</v>
      </c>
    </row>
    <row r="44" spans="1:9" ht="24" customHeight="1" outlineLevel="1">
      <c r="A44" s="109" t="s">
        <v>232</v>
      </c>
      <c r="B44" s="110">
        <v>46123063.79</v>
      </c>
      <c r="C44" s="111"/>
      <c r="D44" s="111"/>
      <c r="E44" s="110">
        <v>45946131</v>
      </c>
      <c r="F44" s="110">
        <v>176932.79</v>
      </c>
      <c r="G44" s="111"/>
      <c r="I44" s="124">
        <v>176932.79</v>
      </c>
    </row>
    <row r="45" spans="1:9" ht="24" customHeight="1" outlineLevel="1">
      <c r="A45" s="112" t="s">
        <v>233</v>
      </c>
      <c r="B45" s="113">
        <v>238253653.51</v>
      </c>
      <c r="C45" s="114"/>
      <c r="D45" s="113">
        <v>285108424.32</v>
      </c>
      <c r="E45" s="113">
        <v>519147117.41</v>
      </c>
      <c r="F45" s="113">
        <v>4214960.42</v>
      </c>
      <c r="G45" s="114"/>
      <c r="I45" s="125">
        <v>4214960.42</v>
      </c>
    </row>
    <row r="46" spans="1:9" ht="24" customHeight="1" outlineLevel="2">
      <c r="A46" s="119" t="s">
        <v>233</v>
      </c>
      <c r="B46" s="113">
        <v>5743517.66</v>
      </c>
      <c r="C46" s="114"/>
      <c r="D46" s="114"/>
      <c r="E46" s="114"/>
      <c r="F46" s="113">
        <v>5743517.66</v>
      </c>
      <c r="G46" s="114"/>
      <c r="I46" s="125">
        <v>5743517.66</v>
      </c>
    </row>
    <row r="47" spans="1:9" ht="24" customHeight="1" outlineLevel="2">
      <c r="A47" s="115" t="s">
        <v>234</v>
      </c>
      <c r="B47" s="110">
        <v>232510135.85</v>
      </c>
      <c r="C47" s="111"/>
      <c r="D47" s="110">
        <v>285108424.32</v>
      </c>
      <c r="E47" s="110">
        <v>519147117.41</v>
      </c>
      <c r="F47" s="118">
        <v>-1528557.24</v>
      </c>
      <c r="G47" s="111"/>
      <c r="I47" s="129">
        <v>-1528557.24</v>
      </c>
    </row>
    <row r="48" spans="1:9" ht="36" customHeight="1" outlineLevel="1">
      <c r="A48" s="109" t="s">
        <v>235</v>
      </c>
      <c r="B48" s="110">
        <v>139330.37</v>
      </c>
      <c r="C48" s="111"/>
      <c r="D48" s="110">
        <v>1231580.55</v>
      </c>
      <c r="E48" s="110">
        <v>620117</v>
      </c>
      <c r="F48" s="110">
        <v>750793.92</v>
      </c>
      <c r="G48" s="111"/>
      <c r="I48" s="124">
        <v>750793.92</v>
      </c>
    </row>
    <row r="49" spans="1:9" ht="24" customHeight="1">
      <c r="A49" s="106" t="s">
        <v>236</v>
      </c>
      <c r="B49" s="107">
        <v>324325957.8</v>
      </c>
      <c r="C49" s="108"/>
      <c r="D49" s="107">
        <v>1879481291.36</v>
      </c>
      <c r="E49" s="107">
        <v>2029477577.94</v>
      </c>
      <c r="F49" s="107">
        <v>174329671.22</v>
      </c>
      <c r="G49" s="108"/>
      <c r="I49" s="123">
        <v>174329671.22</v>
      </c>
    </row>
    <row r="50" spans="1:9" ht="24" customHeight="1" outlineLevel="1">
      <c r="A50" s="109" t="s">
        <v>237</v>
      </c>
      <c r="B50" s="110">
        <v>316240122.91</v>
      </c>
      <c r="C50" s="111"/>
      <c r="D50" s="110">
        <v>1869344235.36</v>
      </c>
      <c r="E50" s="110">
        <v>2019129612.26</v>
      </c>
      <c r="F50" s="110">
        <v>166454746.01</v>
      </c>
      <c r="G50" s="111"/>
      <c r="I50" s="124">
        <v>166454746.01</v>
      </c>
    </row>
    <row r="51" spans="1:9" ht="58.5" customHeight="1" outlineLevel="2">
      <c r="A51" s="115" t="s">
        <v>238</v>
      </c>
      <c r="B51" s="110">
        <v>305345004.42</v>
      </c>
      <c r="C51" s="111"/>
      <c r="D51" s="110">
        <v>1783323185.6</v>
      </c>
      <c r="E51" s="110">
        <v>1933648696.5</v>
      </c>
      <c r="F51" s="110">
        <v>155019493.52</v>
      </c>
      <c r="G51" s="111"/>
      <c r="I51" s="124">
        <v>155019493.52</v>
      </c>
    </row>
    <row r="52" spans="1:9" ht="58.5" customHeight="1" outlineLevel="2">
      <c r="A52" s="115" t="s">
        <v>239</v>
      </c>
      <c r="B52" s="110">
        <v>2461902.8</v>
      </c>
      <c r="C52" s="111"/>
      <c r="D52" s="110">
        <v>1779600</v>
      </c>
      <c r="E52" s="110">
        <v>1779600</v>
      </c>
      <c r="F52" s="110">
        <v>2461902.8</v>
      </c>
      <c r="G52" s="111"/>
      <c r="I52" s="124">
        <v>2461902.8</v>
      </c>
    </row>
    <row r="53" spans="1:9" ht="58.5" customHeight="1" outlineLevel="2">
      <c r="A53" s="115" t="s">
        <v>240</v>
      </c>
      <c r="B53" s="110">
        <v>8433215.69</v>
      </c>
      <c r="C53" s="111"/>
      <c r="D53" s="110">
        <v>84241449.76</v>
      </c>
      <c r="E53" s="110">
        <v>83701315.76</v>
      </c>
      <c r="F53" s="110">
        <v>8973349.69</v>
      </c>
      <c r="G53" s="111"/>
      <c r="I53" s="124">
        <v>8973349.69</v>
      </c>
    </row>
    <row r="54" spans="1:9" ht="24" customHeight="1" outlineLevel="1">
      <c r="A54" s="109" t="s">
        <v>241</v>
      </c>
      <c r="B54" s="110">
        <v>8085834.89</v>
      </c>
      <c r="C54" s="111"/>
      <c r="D54" s="110">
        <v>10137056</v>
      </c>
      <c r="E54" s="110">
        <v>10347965.68</v>
      </c>
      <c r="F54" s="110">
        <v>7874925.21</v>
      </c>
      <c r="G54" s="111"/>
      <c r="I54" s="124">
        <v>7874925.21</v>
      </c>
    </row>
    <row r="55" spans="1:9" ht="24" customHeight="1">
      <c r="A55" s="106" t="s">
        <v>242</v>
      </c>
      <c r="B55" s="107">
        <v>110193231.46</v>
      </c>
      <c r="C55" s="108"/>
      <c r="D55" s="107">
        <v>716792.73</v>
      </c>
      <c r="E55" s="107">
        <v>15683284.29</v>
      </c>
      <c r="F55" s="107">
        <v>95226739.9</v>
      </c>
      <c r="G55" s="108"/>
      <c r="I55" s="123">
        <v>95226739.9</v>
      </c>
    </row>
    <row r="56" spans="1:9" ht="24" customHeight="1" outlineLevel="1">
      <c r="A56" s="109" t="s">
        <v>243</v>
      </c>
      <c r="B56" s="110">
        <v>110193231.46</v>
      </c>
      <c r="C56" s="111"/>
      <c r="D56" s="110">
        <v>716792.73</v>
      </c>
      <c r="E56" s="110">
        <v>15683284.29</v>
      </c>
      <c r="F56" s="110">
        <v>95226739.9</v>
      </c>
      <c r="G56" s="111"/>
      <c r="I56" s="124">
        <v>95226739.9</v>
      </c>
    </row>
    <row r="57" spans="1:9" ht="24" customHeight="1" outlineLevel="2">
      <c r="A57" s="115" t="s">
        <v>244</v>
      </c>
      <c r="B57" s="110">
        <v>110193231.46</v>
      </c>
      <c r="C57" s="111"/>
      <c r="D57" s="110">
        <v>716792.73</v>
      </c>
      <c r="E57" s="110">
        <v>15683284.29</v>
      </c>
      <c r="F57" s="110">
        <v>95226739.9</v>
      </c>
      <c r="G57" s="111"/>
      <c r="I57" s="124">
        <v>95226739.9</v>
      </c>
    </row>
    <row r="58" spans="1:9" ht="12" customHeight="1">
      <c r="A58" s="106" t="s">
        <v>245</v>
      </c>
      <c r="B58" s="107">
        <v>22195987908.52</v>
      </c>
      <c r="C58" s="108"/>
      <c r="D58" s="107">
        <v>29032907</v>
      </c>
      <c r="E58" s="107">
        <v>635641921.4</v>
      </c>
      <c r="F58" s="107">
        <v>21589378894.12</v>
      </c>
      <c r="G58" s="108"/>
      <c r="I58" s="123">
        <v>21589378894.120003</v>
      </c>
    </row>
    <row r="59" spans="1:9" ht="24" customHeight="1" outlineLevel="1">
      <c r="A59" s="112" t="s">
        <v>246</v>
      </c>
      <c r="B59" s="113">
        <v>115595496021.02</v>
      </c>
      <c r="C59" s="114"/>
      <c r="D59" s="113">
        <v>28267373</v>
      </c>
      <c r="E59" s="113">
        <v>2745857.4</v>
      </c>
      <c r="F59" s="113">
        <v>115621017536.62</v>
      </c>
      <c r="G59" s="114"/>
      <c r="I59" s="125">
        <v>115621017536.62001</v>
      </c>
    </row>
    <row r="60" spans="1:9" ht="12" customHeight="1" outlineLevel="2">
      <c r="A60" s="115" t="s">
        <v>247</v>
      </c>
      <c r="B60" s="110">
        <v>1972608577.12</v>
      </c>
      <c r="C60" s="111"/>
      <c r="D60" s="110">
        <v>1800000</v>
      </c>
      <c r="E60" s="111"/>
      <c r="F60" s="110">
        <v>1974408577.12</v>
      </c>
      <c r="G60" s="111"/>
      <c r="I60" s="124">
        <v>1974408577.12</v>
      </c>
    </row>
    <row r="61" spans="1:9" ht="24" customHeight="1" outlineLevel="2">
      <c r="A61" s="115" t="s">
        <v>248</v>
      </c>
      <c r="B61" s="110">
        <v>113053963683.3</v>
      </c>
      <c r="C61" s="111"/>
      <c r="D61" s="110">
        <v>9519923</v>
      </c>
      <c r="E61" s="110">
        <v>2745857.4</v>
      </c>
      <c r="F61" s="110">
        <v>113060737748.9</v>
      </c>
      <c r="G61" s="111"/>
      <c r="I61" s="124">
        <v>113060737748.90001</v>
      </c>
    </row>
    <row r="62" spans="1:9" ht="12" customHeight="1" outlineLevel="2">
      <c r="A62" s="115" t="s">
        <v>249</v>
      </c>
      <c r="B62" s="110">
        <v>364394962.88</v>
      </c>
      <c r="C62" s="111"/>
      <c r="D62" s="111"/>
      <c r="E62" s="111"/>
      <c r="F62" s="110">
        <v>364394962.88</v>
      </c>
      <c r="G62" s="111"/>
      <c r="I62" s="124">
        <v>364394962.88</v>
      </c>
    </row>
    <row r="63" spans="1:9" ht="12" customHeight="1" outlineLevel="2">
      <c r="A63" s="115" t="s">
        <v>250</v>
      </c>
      <c r="B63" s="110">
        <v>204528797.72</v>
      </c>
      <c r="C63" s="111"/>
      <c r="D63" s="110">
        <v>16947450</v>
      </c>
      <c r="E63" s="111"/>
      <c r="F63" s="110">
        <v>221476247.72</v>
      </c>
      <c r="G63" s="111"/>
      <c r="I63" s="124">
        <v>221476247.72</v>
      </c>
    </row>
    <row r="64" spans="1:9" ht="24" customHeight="1" outlineLevel="1">
      <c r="A64" s="112" t="s">
        <v>251</v>
      </c>
      <c r="B64" s="114"/>
      <c r="C64" s="113">
        <v>93399508112.5</v>
      </c>
      <c r="D64" s="113">
        <v>765534</v>
      </c>
      <c r="E64" s="113">
        <v>632896064</v>
      </c>
      <c r="F64" s="114"/>
      <c r="G64" s="113">
        <v>94031638642.50002</v>
      </c>
      <c r="I64" s="126"/>
    </row>
    <row r="65" spans="1:9" ht="24" customHeight="1" outlineLevel="2">
      <c r="A65" s="115" t="s">
        <v>252</v>
      </c>
      <c r="B65" s="111"/>
      <c r="C65" s="110">
        <v>1108046464.26</v>
      </c>
      <c r="D65" s="111"/>
      <c r="E65" s="110">
        <v>20541138</v>
      </c>
      <c r="F65" s="111"/>
      <c r="G65" s="110">
        <v>1128587602.26</v>
      </c>
      <c r="I65" s="127"/>
    </row>
    <row r="66" spans="1:9" ht="36" customHeight="1" outlineLevel="2">
      <c r="A66" s="115" t="s">
        <v>253</v>
      </c>
      <c r="B66" s="111"/>
      <c r="C66" s="110">
        <v>92061093151.36</v>
      </c>
      <c r="D66" s="110">
        <v>765534</v>
      </c>
      <c r="E66" s="110">
        <v>577548292</v>
      </c>
      <c r="F66" s="111"/>
      <c r="G66" s="110">
        <v>92637875909.36002</v>
      </c>
      <c r="I66" s="127"/>
    </row>
    <row r="67" spans="1:9" ht="24" customHeight="1" outlineLevel="2">
      <c r="A67" s="115" t="s">
        <v>254</v>
      </c>
      <c r="B67" s="111"/>
      <c r="C67" s="110">
        <v>149088179.92</v>
      </c>
      <c r="D67" s="111"/>
      <c r="E67" s="110">
        <v>20695812</v>
      </c>
      <c r="F67" s="111"/>
      <c r="G67" s="110">
        <v>169783991.92</v>
      </c>
      <c r="I67" s="127"/>
    </row>
    <row r="68" spans="1:9" ht="24" customHeight="1" outlineLevel="2">
      <c r="A68" s="115" t="s">
        <v>255</v>
      </c>
      <c r="B68" s="111"/>
      <c r="C68" s="110">
        <v>81280316.96</v>
      </c>
      <c r="D68" s="111"/>
      <c r="E68" s="110">
        <v>14110822</v>
      </c>
      <c r="F68" s="111"/>
      <c r="G68" s="110">
        <v>95391138.96</v>
      </c>
      <c r="I68" s="127"/>
    </row>
    <row r="69" spans="1:9" ht="12" customHeight="1">
      <c r="A69" s="106" t="s">
        <v>256</v>
      </c>
      <c r="B69" s="107">
        <v>109033556.93</v>
      </c>
      <c r="C69" s="108"/>
      <c r="D69" s="107">
        <v>396000</v>
      </c>
      <c r="E69" s="107">
        <v>11159023.92</v>
      </c>
      <c r="F69" s="107">
        <v>98270533.01</v>
      </c>
      <c r="G69" s="108"/>
      <c r="I69" s="123">
        <v>98270533.01</v>
      </c>
    </row>
    <row r="70" spans="1:9" ht="24" customHeight="1" outlineLevel="1">
      <c r="A70" s="112" t="s">
        <v>257</v>
      </c>
      <c r="B70" s="113">
        <v>150499913.18</v>
      </c>
      <c r="C70" s="114"/>
      <c r="D70" s="113">
        <v>396000</v>
      </c>
      <c r="E70" s="114"/>
      <c r="F70" s="113">
        <v>150895913.18</v>
      </c>
      <c r="G70" s="114"/>
      <c r="I70" s="125">
        <v>150895913.18</v>
      </c>
    </row>
    <row r="71" spans="1:9" ht="24" customHeight="1" outlineLevel="2">
      <c r="A71" s="115" t="s">
        <v>258</v>
      </c>
      <c r="B71" s="110">
        <v>140333862.78</v>
      </c>
      <c r="C71" s="111"/>
      <c r="D71" s="110">
        <v>396000</v>
      </c>
      <c r="E71" s="111"/>
      <c r="F71" s="110">
        <v>140729862.78</v>
      </c>
      <c r="G71" s="111"/>
      <c r="I71" s="124">
        <v>140729862.78</v>
      </c>
    </row>
    <row r="72" spans="1:9" ht="12" customHeight="1" outlineLevel="2">
      <c r="A72" s="115" t="s">
        <v>259</v>
      </c>
      <c r="B72" s="110">
        <v>4272845.04</v>
      </c>
      <c r="C72" s="111"/>
      <c r="D72" s="111"/>
      <c r="E72" s="111"/>
      <c r="F72" s="110">
        <v>4272845.04</v>
      </c>
      <c r="G72" s="111"/>
      <c r="I72" s="124">
        <v>4272845.04</v>
      </c>
    </row>
    <row r="73" spans="1:9" ht="24" customHeight="1" outlineLevel="2">
      <c r="A73" s="115" t="s">
        <v>260</v>
      </c>
      <c r="B73" s="110">
        <v>5893205.36</v>
      </c>
      <c r="C73" s="111"/>
      <c r="D73" s="111"/>
      <c r="E73" s="111"/>
      <c r="F73" s="110">
        <v>5893205.36</v>
      </c>
      <c r="G73" s="111"/>
      <c r="I73" s="124">
        <v>5893205.36</v>
      </c>
    </row>
    <row r="74" spans="1:9" ht="24" customHeight="1" outlineLevel="1">
      <c r="A74" s="112" t="s">
        <v>261</v>
      </c>
      <c r="B74" s="114"/>
      <c r="C74" s="113">
        <v>41466356.25</v>
      </c>
      <c r="D74" s="114"/>
      <c r="E74" s="113">
        <v>11159023.92</v>
      </c>
      <c r="F74" s="114"/>
      <c r="G74" s="113">
        <v>52625380.17</v>
      </c>
      <c r="I74" s="126"/>
    </row>
    <row r="75" spans="1:9" ht="24" customHeight="1" outlineLevel="2">
      <c r="A75" s="115" t="s">
        <v>262</v>
      </c>
      <c r="B75" s="111"/>
      <c r="C75" s="110">
        <v>37567691.25</v>
      </c>
      <c r="D75" s="111"/>
      <c r="E75" s="110">
        <v>10398084.18</v>
      </c>
      <c r="F75" s="111"/>
      <c r="G75" s="110">
        <v>47965775.43</v>
      </c>
      <c r="I75" s="127"/>
    </row>
    <row r="76" spans="1:9" ht="24" customHeight="1" outlineLevel="2">
      <c r="A76" s="115" t="s">
        <v>263</v>
      </c>
      <c r="B76" s="111"/>
      <c r="C76" s="110">
        <v>1217088</v>
      </c>
      <c r="D76" s="111"/>
      <c r="E76" s="110">
        <v>318949.44</v>
      </c>
      <c r="F76" s="111"/>
      <c r="G76" s="110">
        <v>1536037.44</v>
      </c>
      <c r="I76" s="127"/>
    </row>
    <row r="77" spans="1:9" ht="24" customHeight="1" outlineLevel="2">
      <c r="A77" s="115" t="s">
        <v>264</v>
      </c>
      <c r="B77" s="111"/>
      <c r="C77" s="110">
        <v>2681577</v>
      </c>
      <c r="D77" s="111"/>
      <c r="E77" s="110">
        <v>441990.3</v>
      </c>
      <c r="F77" s="111"/>
      <c r="G77" s="110">
        <v>3123567.3</v>
      </c>
      <c r="I77" s="127"/>
    </row>
    <row r="78" spans="1:9" ht="24" customHeight="1">
      <c r="A78" s="106" t="s">
        <v>265</v>
      </c>
      <c r="B78" s="107">
        <v>309258710.53</v>
      </c>
      <c r="C78" s="108"/>
      <c r="D78" s="107">
        <v>395210079.48</v>
      </c>
      <c r="E78" s="108"/>
      <c r="F78" s="107">
        <v>704468790.01</v>
      </c>
      <c r="G78" s="108"/>
      <c r="I78" s="123">
        <v>704468790.01</v>
      </c>
    </row>
    <row r="79" spans="1:9" ht="24" customHeight="1" outlineLevel="1">
      <c r="A79" s="109" t="s">
        <v>266</v>
      </c>
      <c r="B79" s="110">
        <v>309258710.53</v>
      </c>
      <c r="C79" s="111"/>
      <c r="D79" s="110">
        <v>395210079.48</v>
      </c>
      <c r="E79" s="111"/>
      <c r="F79" s="110">
        <v>704468790.01</v>
      </c>
      <c r="G79" s="111"/>
      <c r="I79" s="124">
        <v>704468790.01</v>
      </c>
    </row>
    <row r="80" spans="1:9" ht="24" customHeight="1" outlineLevel="2">
      <c r="A80" s="115" t="s">
        <v>267</v>
      </c>
      <c r="B80" s="110">
        <v>309258710.53</v>
      </c>
      <c r="C80" s="111"/>
      <c r="D80" s="110">
        <v>395210079.48</v>
      </c>
      <c r="E80" s="111"/>
      <c r="F80" s="110">
        <v>704468790.01</v>
      </c>
      <c r="G80" s="111"/>
      <c r="I80" s="124">
        <v>704468790.01</v>
      </c>
    </row>
    <row r="81" spans="1:10" ht="24" customHeight="1">
      <c r="A81" s="106" t="s">
        <v>268</v>
      </c>
      <c r="B81" s="108"/>
      <c r="C81" s="107">
        <v>1019124171.36</v>
      </c>
      <c r="D81" s="107">
        <v>1792815050.4</v>
      </c>
      <c r="E81" s="107">
        <v>1417003975.06</v>
      </c>
      <c r="F81" s="108"/>
      <c r="G81" s="107">
        <v>643313096.02</v>
      </c>
      <c r="J81" s="123">
        <v>643313096.02</v>
      </c>
    </row>
    <row r="82" spans="1:10" ht="48" customHeight="1" outlineLevel="1">
      <c r="A82" s="109" t="s">
        <v>269</v>
      </c>
      <c r="B82" s="111"/>
      <c r="C82" s="110">
        <v>20142102.14</v>
      </c>
      <c r="D82" s="110">
        <v>4974471.16</v>
      </c>
      <c r="E82" s="110">
        <v>428626254.62</v>
      </c>
      <c r="F82" s="111"/>
      <c r="G82" s="110">
        <v>443793885.6</v>
      </c>
      <c r="J82" s="124">
        <v>443793885.6</v>
      </c>
    </row>
    <row r="83" spans="1:10" ht="24" customHeight="1" outlineLevel="2">
      <c r="A83" s="115" t="s">
        <v>270</v>
      </c>
      <c r="B83" s="111"/>
      <c r="C83" s="110">
        <v>9366008.67</v>
      </c>
      <c r="D83" s="111"/>
      <c r="E83" s="110">
        <v>428420000</v>
      </c>
      <c r="F83" s="111"/>
      <c r="G83" s="110">
        <v>437786008.67</v>
      </c>
      <c r="J83" s="124">
        <v>437786008.67</v>
      </c>
    </row>
    <row r="84" spans="1:10" ht="24" customHeight="1" outlineLevel="2">
      <c r="A84" s="115" t="s">
        <v>271</v>
      </c>
      <c r="B84" s="111"/>
      <c r="C84" s="110">
        <v>10776093.47</v>
      </c>
      <c r="D84" s="110">
        <v>4974471.16</v>
      </c>
      <c r="E84" s="110">
        <v>206254.62</v>
      </c>
      <c r="F84" s="111"/>
      <c r="G84" s="110">
        <v>6007876.93</v>
      </c>
      <c r="J84" s="124">
        <v>6007876.93</v>
      </c>
    </row>
    <row r="85" spans="1:10" ht="36" customHeight="1" outlineLevel="1">
      <c r="A85" s="112" t="s">
        <v>272</v>
      </c>
      <c r="B85" s="114"/>
      <c r="C85" s="113">
        <v>998982069.22</v>
      </c>
      <c r="D85" s="113">
        <v>1787840579.24</v>
      </c>
      <c r="E85" s="113">
        <v>988377720.44</v>
      </c>
      <c r="F85" s="114"/>
      <c r="G85" s="113">
        <v>199519210.42</v>
      </c>
      <c r="J85" s="125">
        <v>199519210.42</v>
      </c>
    </row>
    <row r="86" spans="1:10" ht="36" customHeight="1" outlineLevel="2">
      <c r="A86" s="119" t="s">
        <v>272</v>
      </c>
      <c r="B86" s="114"/>
      <c r="C86" s="113">
        <v>2383127.64</v>
      </c>
      <c r="D86" s="113">
        <v>2383127.64</v>
      </c>
      <c r="E86" s="114"/>
      <c r="F86" s="114"/>
      <c r="G86" s="114"/>
      <c r="J86" s="126"/>
    </row>
    <row r="87" spans="1:10" ht="24" customHeight="1" outlineLevel="2">
      <c r="A87" s="115" t="s">
        <v>364</v>
      </c>
      <c r="B87" s="111"/>
      <c r="C87" s="110">
        <v>996598941.58</v>
      </c>
      <c r="D87" s="110">
        <v>1785457451.6</v>
      </c>
      <c r="E87" s="110">
        <v>988377720.44</v>
      </c>
      <c r="F87" s="111"/>
      <c r="G87" s="110">
        <v>199519210.42</v>
      </c>
      <c r="J87" s="124">
        <v>199519210.42</v>
      </c>
    </row>
    <row r="88" spans="1:10" ht="12" customHeight="1">
      <c r="A88" s="106" t="s">
        <v>273</v>
      </c>
      <c r="B88" s="108"/>
      <c r="C88" s="107">
        <v>3747580.45</v>
      </c>
      <c r="D88" s="107">
        <v>892694696.41</v>
      </c>
      <c r="E88" s="107">
        <v>901924545.96</v>
      </c>
      <c r="F88" s="108"/>
      <c r="G88" s="107">
        <v>12977430</v>
      </c>
      <c r="J88" s="123">
        <v>12977430</v>
      </c>
    </row>
    <row r="89" spans="1:10" ht="36" customHeight="1" outlineLevel="1">
      <c r="A89" s="109" t="s">
        <v>274</v>
      </c>
      <c r="B89" s="111"/>
      <c r="C89" s="111"/>
      <c r="D89" s="110">
        <v>155811973</v>
      </c>
      <c r="E89" s="110">
        <v>155811973</v>
      </c>
      <c r="F89" s="111"/>
      <c r="G89" s="111"/>
      <c r="J89" s="127"/>
    </row>
    <row r="90" spans="1:10" ht="24" customHeight="1" outlineLevel="1">
      <c r="A90" s="109" t="s">
        <v>275</v>
      </c>
      <c r="B90" s="111"/>
      <c r="C90" s="110">
        <v>963140</v>
      </c>
      <c r="D90" s="110">
        <v>36513027.6</v>
      </c>
      <c r="E90" s="110">
        <v>42621715.6</v>
      </c>
      <c r="F90" s="111"/>
      <c r="G90" s="110">
        <v>7071828</v>
      </c>
      <c r="J90" s="124">
        <v>7071828</v>
      </c>
    </row>
    <row r="91" spans="1:10" ht="24" customHeight="1" outlineLevel="1">
      <c r="A91" s="109" t="s">
        <v>276</v>
      </c>
      <c r="B91" s="111"/>
      <c r="C91" s="111"/>
      <c r="D91" s="110">
        <v>519147117.41</v>
      </c>
      <c r="E91" s="110">
        <v>519147117.41</v>
      </c>
      <c r="F91" s="111"/>
      <c r="G91" s="111"/>
      <c r="J91" s="127"/>
    </row>
    <row r="92" spans="1:10" ht="12" customHeight="1" outlineLevel="1">
      <c r="A92" s="109" t="s">
        <v>277</v>
      </c>
      <c r="B92" s="111"/>
      <c r="C92" s="110">
        <v>1389288</v>
      </c>
      <c r="D92" s="110">
        <v>29518214</v>
      </c>
      <c r="E92" s="110">
        <v>34034528</v>
      </c>
      <c r="F92" s="111"/>
      <c r="G92" s="110">
        <v>5905602</v>
      </c>
      <c r="J92" s="124">
        <v>5905602</v>
      </c>
    </row>
    <row r="93" spans="1:10" ht="12" customHeight="1" outlineLevel="1">
      <c r="A93" s="109" t="s">
        <v>278</v>
      </c>
      <c r="B93" s="111"/>
      <c r="C93" s="111"/>
      <c r="D93" s="110">
        <v>2600484</v>
      </c>
      <c r="E93" s="110">
        <v>2600484</v>
      </c>
      <c r="F93" s="111"/>
      <c r="G93" s="111"/>
      <c r="J93" s="127"/>
    </row>
    <row r="94" spans="1:10" ht="24" customHeight="1" outlineLevel="1">
      <c r="A94" s="109" t="s">
        <v>279</v>
      </c>
      <c r="B94" s="111"/>
      <c r="C94" s="110">
        <v>4327</v>
      </c>
      <c r="D94" s="110">
        <v>4327</v>
      </c>
      <c r="E94" s="111"/>
      <c r="F94" s="111"/>
      <c r="G94" s="111"/>
      <c r="J94" s="127"/>
    </row>
    <row r="95" spans="1:10" ht="12" customHeight="1" outlineLevel="1">
      <c r="A95" s="109" t="s">
        <v>280</v>
      </c>
      <c r="B95" s="111"/>
      <c r="C95" s="110">
        <v>1390825.45</v>
      </c>
      <c r="D95" s="110">
        <v>148108657</v>
      </c>
      <c r="E95" s="110">
        <v>146717831.55</v>
      </c>
      <c r="F95" s="111"/>
      <c r="G95" s="111"/>
      <c r="J95" s="127"/>
    </row>
    <row r="96" spans="1:10" ht="12" customHeight="1" outlineLevel="1">
      <c r="A96" s="109" t="s">
        <v>281</v>
      </c>
      <c r="B96" s="111"/>
      <c r="C96" s="111"/>
      <c r="D96" s="110">
        <v>990896.4</v>
      </c>
      <c r="E96" s="110">
        <v>990896.4</v>
      </c>
      <c r="F96" s="111"/>
      <c r="G96" s="111"/>
      <c r="J96" s="127"/>
    </row>
    <row r="97" spans="1:10" ht="36" customHeight="1">
      <c r="A97" s="106" t="s">
        <v>282</v>
      </c>
      <c r="B97" s="108"/>
      <c r="C97" s="107">
        <v>23092639.2</v>
      </c>
      <c r="D97" s="107">
        <v>85392239.8</v>
      </c>
      <c r="E97" s="107">
        <v>77251665.8</v>
      </c>
      <c r="F97" s="108"/>
      <c r="G97" s="107">
        <v>14952065.2</v>
      </c>
      <c r="J97" s="123">
        <v>14952065.2</v>
      </c>
    </row>
    <row r="98" spans="1:10" ht="24" customHeight="1" outlineLevel="1">
      <c r="A98" s="109" t="s">
        <v>283</v>
      </c>
      <c r="B98" s="111"/>
      <c r="C98" s="110">
        <v>5123294.09</v>
      </c>
      <c r="D98" s="110">
        <v>23016324.22</v>
      </c>
      <c r="E98" s="110">
        <v>21621981.92</v>
      </c>
      <c r="F98" s="111"/>
      <c r="G98" s="110">
        <v>3728951.79</v>
      </c>
      <c r="J98" s="124">
        <v>3728951.79</v>
      </c>
    </row>
    <row r="99" spans="1:10" ht="24" customHeight="1" outlineLevel="1">
      <c r="A99" s="109" t="s">
        <v>284</v>
      </c>
      <c r="B99" s="111"/>
      <c r="C99" s="110">
        <v>17969345.11</v>
      </c>
      <c r="D99" s="110">
        <v>62375915.58</v>
      </c>
      <c r="E99" s="110">
        <v>55629683.88</v>
      </c>
      <c r="F99" s="111"/>
      <c r="G99" s="110">
        <v>11223113.41</v>
      </c>
      <c r="J99" s="124">
        <v>11223113.41</v>
      </c>
    </row>
    <row r="100" spans="1:10" ht="24" customHeight="1">
      <c r="A100" s="106" t="s">
        <v>285</v>
      </c>
      <c r="B100" s="108"/>
      <c r="C100" s="107">
        <v>2282985925.42</v>
      </c>
      <c r="D100" s="107">
        <v>5330970206.06</v>
      </c>
      <c r="E100" s="107">
        <v>3896001049.91</v>
      </c>
      <c r="F100" s="108"/>
      <c r="G100" s="107">
        <v>848016769.27</v>
      </c>
      <c r="J100" s="123">
        <v>848016769.27</v>
      </c>
    </row>
    <row r="101" spans="1:10" ht="36" customHeight="1" outlineLevel="1">
      <c r="A101" s="112" t="s">
        <v>286</v>
      </c>
      <c r="B101" s="114"/>
      <c r="C101" s="113">
        <v>2119618722.12</v>
      </c>
      <c r="D101" s="113">
        <v>4462264680.51</v>
      </c>
      <c r="E101" s="113">
        <v>3069468455.34</v>
      </c>
      <c r="F101" s="114"/>
      <c r="G101" s="113">
        <v>726822496.95</v>
      </c>
      <c r="J101" s="125">
        <v>726822496.95</v>
      </c>
    </row>
    <row r="102" spans="1:10" ht="36" customHeight="1" outlineLevel="2">
      <c r="A102" s="115" t="s">
        <v>287</v>
      </c>
      <c r="B102" s="111"/>
      <c r="C102" s="110">
        <v>29067852.25</v>
      </c>
      <c r="D102" s="110">
        <v>150970953.17</v>
      </c>
      <c r="E102" s="110">
        <v>142210436.5</v>
      </c>
      <c r="F102" s="111"/>
      <c r="G102" s="110">
        <v>20307335.58</v>
      </c>
      <c r="J102" s="124">
        <v>20307335.58</v>
      </c>
    </row>
    <row r="103" spans="1:10" ht="36" customHeight="1" outlineLevel="2">
      <c r="A103" s="115" t="s">
        <v>288</v>
      </c>
      <c r="B103" s="111"/>
      <c r="C103" s="110">
        <v>1949796152.84</v>
      </c>
      <c r="D103" s="110">
        <v>1720351391.8</v>
      </c>
      <c r="E103" s="110">
        <v>331844624.98</v>
      </c>
      <c r="F103" s="111"/>
      <c r="G103" s="110">
        <v>561289386.02</v>
      </c>
      <c r="J103" s="124">
        <v>561289386.02</v>
      </c>
    </row>
    <row r="104" spans="1:10" ht="36" customHeight="1" outlineLevel="2">
      <c r="A104" s="115" t="s">
        <v>289</v>
      </c>
      <c r="B104" s="111"/>
      <c r="C104" s="110">
        <v>140754717.03</v>
      </c>
      <c r="D104" s="110">
        <v>2590942335.54</v>
      </c>
      <c r="E104" s="110">
        <v>2595413393.86</v>
      </c>
      <c r="F104" s="111"/>
      <c r="G104" s="110">
        <v>145225775.35</v>
      </c>
      <c r="J104" s="124">
        <v>145225775.35</v>
      </c>
    </row>
    <row r="105" spans="1:10" ht="24" customHeight="1" outlineLevel="1">
      <c r="A105" s="109" t="s">
        <v>290</v>
      </c>
      <c r="B105" s="111"/>
      <c r="C105" s="110">
        <v>38815311.82</v>
      </c>
      <c r="D105" s="110">
        <v>573464516.85</v>
      </c>
      <c r="E105" s="110">
        <v>595368765.9</v>
      </c>
      <c r="F105" s="111"/>
      <c r="G105" s="110">
        <v>60719560.87</v>
      </c>
      <c r="I105" s="51">
        <f>G105+G97</f>
        <v>75671626.07</v>
      </c>
      <c r="J105" s="124">
        <v>60719560.87</v>
      </c>
    </row>
    <row r="106" spans="1:10" ht="24" customHeight="1" outlineLevel="1">
      <c r="A106" s="109" t="s">
        <v>291</v>
      </c>
      <c r="B106" s="111"/>
      <c r="C106" s="110">
        <v>78368792.12</v>
      </c>
      <c r="D106" s="110">
        <v>180588974.45</v>
      </c>
      <c r="E106" s="110">
        <v>118646850</v>
      </c>
      <c r="F106" s="111"/>
      <c r="G106" s="110">
        <v>16426667.67</v>
      </c>
      <c r="J106" s="124">
        <v>16426667.67</v>
      </c>
    </row>
    <row r="107" spans="1:10" ht="24" customHeight="1" outlineLevel="2">
      <c r="A107" s="115" t="s">
        <v>360</v>
      </c>
      <c r="B107" s="111"/>
      <c r="C107" s="110">
        <v>78368792.12</v>
      </c>
      <c r="D107" s="110">
        <v>180588974.45</v>
      </c>
      <c r="E107" s="110">
        <v>118646850</v>
      </c>
      <c r="F107" s="111"/>
      <c r="G107" s="110">
        <v>16426667.67</v>
      </c>
      <c r="J107" s="124">
        <v>16426667.67</v>
      </c>
    </row>
    <row r="108" spans="1:10" ht="24" customHeight="1" outlineLevel="1">
      <c r="A108" s="112" t="s">
        <v>292</v>
      </c>
      <c r="B108" s="114"/>
      <c r="C108" s="113">
        <v>46183099.36</v>
      </c>
      <c r="D108" s="113">
        <v>114652034.25</v>
      </c>
      <c r="E108" s="113">
        <v>112516978.67</v>
      </c>
      <c r="F108" s="114"/>
      <c r="G108" s="113">
        <v>44048043.78</v>
      </c>
      <c r="J108" s="125">
        <v>44048043.78</v>
      </c>
    </row>
    <row r="109" spans="1:10" ht="36" customHeight="1" outlineLevel="2">
      <c r="A109" s="115" t="s">
        <v>293</v>
      </c>
      <c r="B109" s="111"/>
      <c r="C109" s="110">
        <v>2421554.84</v>
      </c>
      <c r="D109" s="110">
        <v>2195979.85</v>
      </c>
      <c r="E109" s="110">
        <v>1910302.4</v>
      </c>
      <c r="F109" s="111"/>
      <c r="G109" s="110">
        <v>2135877.39</v>
      </c>
      <c r="J109" s="124">
        <v>2135877.39</v>
      </c>
    </row>
    <row r="110" spans="1:10" ht="24" customHeight="1" outlineLevel="2">
      <c r="A110" s="115" t="s">
        <v>294</v>
      </c>
      <c r="B110" s="111"/>
      <c r="C110" s="110">
        <v>1275220</v>
      </c>
      <c r="D110" s="110">
        <v>4249441</v>
      </c>
      <c r="E110" s="110">
        <v>3873279</v>
      </c>
      <c r="F110" s="111"/>
      <c r="G110" s="110">
        <v>899058</v>
      </c>
      <c r="J110" s="124">
        <v>899058</v>
      </c>
    </row>
    <row r="111" spans="1:10" ht="24" customHeight="1" outlineLevel="2">
      <c r="A111" s="115" t="s">
        <v>295</v>
      </c>
      <c r="B111" s="111"/>
      <c r="C111" s="110">
        <v>653962</v>
      </c>
      <c r="D111" s="110">
        <v>5918873.24</v>
      </c>
      <c r="E111" s="110">
        <v>5935677.09</v>
      </c>
      <c r="F111" s="111"/>
      <c r="G111" s="110">
        <v>670765.85</v>
      </c>
      <c r="J111" s="124">
        <v>670765.85</v>
      </c>
    </row>
    <row r="112" spans="1:10" ht="24" customHeight="1" outlineLevel="2">
      <c r="A112" s="115" t="s">
        <v>296</v>
      </c>
      <c r="B112" s="111"/>
      <c r="C112" s="110">
        <v>39028331.16</v>
      </c>
      <c r="D112" s="110">
        <v>89967586.16</v>
      </c>
      <c r="E112" s="110">
        <v>89016820.08</v>
      </c>
      <c r="F112" s="111"/>
      <c r="G112" s="110">
        <v>38077565.08</v>
      </c>
      <c r="J112" s="124">
        <v>38077565.08</v>
      </c>
    </row>
    <row r="113" spans="1:10" ht="24" customHeight="1" outlineLevel="2">
      <c r="A113" s="115" t="s">
        <v>297</v>
      </c>
      <c r="B113" s="111"/>
      <c r="C113" s="110">
        <v>2118998.36</v>
      </c>
      <c r="D113" s="110">
        <v>10374661</v>
      </c>
      <c r="E113" s="110">
        <v>9868238.1</v>
      </c>
      <c r="F113" s="111"/>
      <c r="G113" s="110">
        <v>1612575.46</v>
      </c>
      <c r="J113" s="124">
        <v>1612575.46</v>
      </c>
    </row>
    <row r="114" spans="1:10" ht="24" customHeight="1" outlineLevel="2">
      <c r="A114" s="115" t="s">
        <v>298</v>
      </c>
      <c r="B114" s="111"/>
      <c r="C114" s="110">
        <v>685033</v>
      </c>
      <c r="D114" s="110">
        <v>1945493</v>
      </c>
      <c r="E114" s="110">
        <v>1912662</v>
      </c>
      <c r="F114" s="111"/>
      <c r="G114" s="110">
        <v>652202</v>
      </c>
      <c r="J114" s="124">
        <v>652202</v>
      </c>
    </row>
    <row r="115" spans="1:10" ht="24" customHeight="1">
      <c r="A115" s="106" t="s">
        <v>299</v>
      </c>
      <c r="B115" s="108"/>
      <c r="C115" s="107">
        <v>112982721</v>
      </c>
      <c r="D115" s="108"/>
      <c r="E115" s="107">
        <v>11639193</v>
      </c>
      <c r="F115" s="108"/>
      <c r="G115" s="107">
        <v>124621914</v>
      </c>
      <c r="J115" s="123">
        <v>124621914</v>
      </c>
    </row>
    <row r="116" spans="1:10" ht="36" customHeight="1" outlineLevel="1">
      <c r="A116" s="109" t="s">
        <v>300</v>
      </c>
      <c r="B116" s="111"/>
      <c r="C116" s="110">
        <v>112982721</v>
      </c>
      <c r="D116" s="111"/>
      <c r="E116" s="110">
        <v>11639193</v>
      </c>
      <c r="F116" s="111"/>
      <c r="G116" s="110">
        <v>124621914</v>
      </c>
      <c r="J116" s="124">
        <v>124621914</v>
      </c>
    </row>
    <row r="117" spans="1:10" ht="36" customHeight="1" outlineLevel="2">
      <c r="A117" s="115" t="s">
        <v>361</v>
      </c>
      <c r="B117" s="111"/>
      <c r="C117" s="110">
        <v>112982721</v>
      </c>
      <c r="D117" s="111"/>
      <c r="E117" s="110">
        <v>11639193</v>
      </c>
      <c r="F117" s="111"/>
      <c r="G117" s="110">
        <v>124621914</v>
      </c>
      <c r="I117" s="51">
        <f>G117-1574000</f>
        <v>123047914</v>
      </c>
      <c r="J117" s="124">
        <v>124621914</v>
      </c>
    </row>
    <row r="118" spans="1:13" ht="24" customHeight="1">
      <c r="A118" s="106" t="s">
        <v>301</v>
      </c>
      <c r="B118" s="108"/>
      <c r="C118" s="107">
        <v>692541251.43</v>
      </c>
      <c r="D118" s="107">
        <v>4234641387.73</v>
      </c>
      <c r="E118" s="107">
        <v>4347756817.230001</v>
      </c>
      <c r="F118" s="108"/>
      <c r="G118" s="107">
        <v>805656680.93</v>
      </c>
      <c r="J118" s="123">
        <v>805638112.7</v>
      </c>
      <c r="M118" s="51">
        <f>G118-J118</f>
        <v>18568.229999899864</v>
      </c>
    </row>
    <row r="119" spans="1:10" ht="24" customHeight="1" outlineLevel="1">
      <c r="A119" s="109" t="s">
        <v>302</v>
      </c>
      <c r="B119" s="111"/>
      <c r="C119" s="110">
        <v>692541251.43</v>
      </c>
      <c r="D119" s="110">
        <v>4234641387.73</v>
      </c>
      <c r="E119" s="110">
        <v>4347756817.230001</v>
      </c>
      <c r="F119" s="111"/>
      <c r="G119" s="110">
        <v>805656680.93</v>
      </c>
      <c r="J119" s="124">
        <v>805638112.7</v>
      </c>
    </row>
    <row r="120" spans="1:13" ht="24" customHeight="1" outlineLevel="2">
      <c r="A120" s="115" t="s">
        <v>302</v>
      </c>
      <c r="B120" s="111"/>
      <c r="C120" s="110">
        <v>20000</v>
      </c>
      <c r="D120" s="111"/>
      <c r="E120" s="111"/>
      <c r="F120" s="111"/>
      <c r="G120" s="110">
        <v>20000</v>
      </c>
      <c r="J120" s="124">
        <v>1431.77</v>
      </c>
      <c r="M120" s="51">
        <f>G120-J120</f>
        <v>18568.23</v>
      </c>
    </row>
    <row r="121" spans="1:10" ht="48" customHeight="1" outlineLevel="2">
      <c r="A121" s="115" t="s">
        <v>303</v>
      </c>
      <c r="B121" s="111"/>
      <c r="C121" s="110">
        <v>666969945.83</v>
      </c>
      <c r="D121" s="110">
        <v>4148041403.92</v>
      </c>
      <c r="E121" s="110">
        <v>4252375502.61</v>
      </c>
      <c r="F121" s="111"/>
      <c r="G121" s="110">
        <v>771304044.52</v>
      </c>
      <c r="J121" s="124">
        <v>771304044.52</v>
      </c>
    </row>
    <row r="122" spans="1:10" ht="12" customHeight="1" outlineLevel="2">
      <c r="A122" s="115" t="s">
        <v>304</v>
      </c>
      <c r="B122" s="111"/>
      <c r="C122" s="110">
        <v>25551305.6</v>
      </c>
      <c r="D122" s="110">
        <v>86599983.81</v>
      </c>
      <c r="E122" s="110">
        <v>95381314.62</v>
      </c>
      <c r="F122" s="111"/>
      <c r="G122" s="110">
        <v>34332636.41</v>
      </c>
      <c r="J122" s="124">
        <v>34332636.41</v>
      </c>
    </row>
    <row r="123" spans="1:10" ht="24" customHeight="1">
      <c r="A123" s="106" t="s">
        <v>305</v>
      </c>
      <c r="B123" s="108"/>
      <c r="C123" s="107">
        <v>3970838197.16</v>
      </c>
      <c r="D123" s="107">
        <v>736330758.52</v>
      </c>
      <c r="E123" s="107">
        <v>674436222.4</v>
      </c>
      <c r="F123" s="108"/>
      <c r="G123" s="107">
        <v>3908943661.04</v>
      </c>
      <c r="J123" s="123">
        <v>3908943661.04</v>
      </c>
    </row>
    <row r="124" spans="1:10" ht="58.5" customHeight="1" outlineLevel="1">
      <c r="A124" s="109" t="s">
        <v>306</v>
      </c>
      <c r="B124" s="111"/>
      <c r="C124" s="110">
        <v>2262679428.15</v>
      </c>
      <c r="D124" s="110">
        <v>604729222.4</v>
      </c>
      <c r="E124" s="110">
        <v>576398926</v>
      </c>
      <c r="F124" s="111"/>
      <c r="G124" s="110">
        <v>2234349131.75</v>
      </c>
      <c r="J124" s="124">
        <v>2234349131.75</v>
      </c>
    </row>
    <row r="125" spans="1:10" ht="24" customHeight="1" outlineLevel="2">
      <c r="A125" s="115" t="s">
        <v>307</v>
      </c>
      <c r="B125" s="111"/>
      <c r="C125" s="110">
        <v>582679428.15</v>
      </c>
      <c r="D125" s="110">
        <v>604729222.4</v>
      </c>
      <c r="E125" s="110">
        <v>576398926</v>
      </c>
      <c r="F125" s="111"/>
      <c r="G125" s="110">
        <v>554349131.75</v>
      </c>
      <c r="J125" s="124">
        <v>554349131.75</v>
      </c>
    </row>
    <row r="126" spans="1:10" ht="12" customHeight="1" outlineLevel="2">
      <c r="A126" s="115" t="s">
        <v>308</v>
      </c>
      <c r="B126" s="111"/>
      <c r="C126" s="110">
        <v>1680000000</v>
      </c>
      <c r="D126" s="111"/>
      <c r="E126" s="111"/>
      <c r="F126" s="111"/>
      <c r="G126" s="110">
        <v>1680000000</v>
      </c>
      <c r="J126" s="124">
        <v>1680000000</v>
      </c>
    </row>
    <row r="127" spans="1:10" ht="24" customHeight="1" outlineLevel="1">
      <c r="A127" s="112" t="s">
        <v>309</v>
      </c>
      <c r="B127" s="114"/>
      <c r="C127" s="113">
        <v>1708158769.01</v>
      </c>
      <c r="D127" s="113">
        <v>131601536.12</v>
      </c>
      <c r="E127" s="113">
        <v>98037296.4</v>
      </c>
      <c r="F127" s="114"/>
      <c r="G127" s="113">
        <v>1674594529.29</v>
      </c>
      <c r="J127" s="125">
        <v>1674594529.29</v>
      </c>
    </row>
    <row r="128" spans="1:10" ht="24" customHeight="1" outlineLevel="2">
      <c r="A128" s="115" t="s">
        <v>310</v>
      </c>
      <c r="B128" s="111"/>
      <c r="C128" s="110">
        <v>43999948</v>
      </c>
      <c r="D128" s="111"/>
      <c r="E128" s="111"/>
      <c r="F128" s="111"/>
      <c r="G128" s="110">
        <v>43999948</v>
      </c>
      <c r="J128" s="124">
        <v>43999948</v>
      </c>
    </row>
    <row r="129" spans="1:10" ht="12" customHeight="1" outlineLevel="2">
      <c r="A129" s="115" t="s">
        <v>311</v>
      </c>
      <c r="B129" s="111"/>
      <c r="C129" s="110">
        <v>1664158821.01</v>
      </c>
      <c r="D129" s="110">
        <v>131601536.12</v>
      </c>
      <c r="E129" s="110">
        <v>98037296.4</v>
      </c>
      <c r="F129" s="111"/>
      <c r="G129" s="110">
        <v>1630594581.29</v>
      </c>
      <c r="J129" s="124">
        <v>1630594581.29</v>
      </c>
    </row>
    <row r="130" spans="1:10" ht="24" customHeight="1">
      <c r="A130" s="106" t="s">
        <v>312</v>
      </c>
      <c r="B130" s="108"/>
      <c r="C130" s="107">
        <v>57306299</v>
      </c>
      <c r="D130" s="108"/>
      <c r="E130" s="107">
        <v>1591734</v>
      </c>
      <c r="F130" s="108"/>
      <c r="G130" s="107">
        <v>58898033</v>
      </c>
      <c r="J130" s="123">
        <v>58898033</v>
      </c>
    </row>
    <row r="131" spans="1:10" ht="36" customHeight="1" outlineLevel="1">
      <c r="A131" s="109" t="s">
        <v>313</v>
      </c>
      <c r="B131" s="111"/>
      <c r="C131" s="110">
        <v>57306299</v>
      </c>
      <c r="D131" s="111"/>
      <c r="E131" s="110">
        <v>1591734</v>
      </c>
      <c r="F131" s="111"/>
      <c r="G131" s="110">
        <v>58898033</v>
      </c>
      <c r="J131" s="124">
        <v>58898033</v>
      </c>
    </row>
    <row r="132" spans="1:10" ht="24" customHeight="1">
      <c r="A132" s="106" t="s">
        <v>314</v>
      </c>
      <c r="B132" s="108"/>
      <c r="C132" s="107">
        <v>2865932800</v>
      </c>
      <c r="D132" s="108"/>
      <c r="E132" s="120">
        <v>-23615104</v>
      </c>
      <c r="F132" s="108"/>
      <c r="G132" s="107">
        <v>2842317696</v>
      </c>
      <c r="J132" s="123">
        <v>2842317696</v>
      </c>
    </row>
    <row r="133" spans="1:10" ht="48" customHeight="1" outlineLevel="1">
      <c r="A133" s="109" t="s">
        <v>315</v>
      </c>
      <c r="B133" s="111"/>
      <c r="C133" s="110">
        <v>2865932800</v>
      </c>
      <c r="D133" s="111"/>
      <c r="E133" s="118">
        <v>-23615104</v>
      </c>
      <c r="F133" s="111"/>
      <c r="G133" s="110">
        <v>2842317696</v>
      </c>
      <c r="J133" s="124">
        <v>2842317696</v>
      </c>
    </row>
    <row r="134" spans="1:10" ht="12" customHeight="1">
      <c r="A134" s="106" t="s">
        <v>316</v>
      </c>
      <c r="B134" s="108"/>
      <c r="C134" s="107">
        <v>1188015776.5</v>
      </c>
      <c r="D134" s="108"/>
      <c r="E134" s="108"/>
      <c r="F134" s="108"/>
      <c r="G134" s="107">
        <v>1188015776.5</v>
      </c>
      <c r="J134" s="123">
        <v>1188015776.5</v>
      </c>
    </row>
    <row r="135" spans="1:10" ht="12" customHeight="1" outlineLevel="1">
      <c r="A135" s="109" t="s">
        <v>317</v>
      </c>
      <c r="B135" s="111"/>
      <c r="C135" s="110">
        <v>12319172</v>
      </c>
      <c r="D135" s="111"/>
      <c r="E135" s="111"/>
      <c r="F135" s="111"/>
      <c r="G135" s="110">
        <v>12319172</v>
      </c>
      <c r="J135" s="124">
        <v>12319172</v>
      </c>
    </row>
    <row r="136" spans="1:10" ht="12" customHeight="1" outlineLevel="1">
      <c r="A136" s="109" t="s">
        <v>318</v>
      </c>
      <c r="B136" s="111"/>
      <c r="C136" s="110">
        <v>1175696604.5</v>
      </c>
      <c r="D136" s="111"/>
      <c r="E136" s="111"/>
      <c r="F136" s="111"/>
      <c r="G136" s="110">
        <v>1175696604.5</v>
      </c>
      <c r="J136" s="124">
        <v>1175696604.5</v>
      </c>
    </row>
    <row r="137" spans="1:10" ht="24" customHeight="1">
      <c r="A137" s="106" t="s">
        <v>319</v>
      </c>
      <c r="B137" s="108"/>
      <c r="C137" s="120">
        <v>-38923576.4</v>
      </c>
      <c r="D137" s="108"/>
      <c r="E137" s="108"/>
      <c r="F137" s="108"/>
      <c r="G137" s="120">
        <v>-38923576.4</v>
      </c>
      <c r="J137" s="130">
        <v>-38923576.4</v>
      </c>
    </row>
    <row r="138" spans="1:10" ht="24" customHeight="1" outlineLevel="1">
      <c r="A138" s="109" t="s">
        <v>320</v>
      </c>
      <c r="B138" s="111"/>
      <c r="C138" s="118">
        <v>-38923576.4</v>
      </c>
      <c r="D138" s="111"/>
      <c r="E138" s="111"/>
      <c r="F138" s="111"/>
      <c r="G138" s="118">
        <v>-38923576.4</v>
      </c>
      <c r="J138" s="129">
        <v>-38923576.4</v>
      </c>
    </row>
    <row r="139" spans="1:10" ht="12" customHeight="1">
      <c r="A139" s="106" t="s">
        <v>365</v>
      </c>
      <c r="B139" s="108"/>
      <c r="C139" s="107">
        <v>524746000</v>
      </c>
      <c r="D139" s="108"/>
      <c r="E139" s="108"/>
      <c r="F139" s="108"/>
      <c r="G139" s="107">
        <v>524746000</v>
      </c>
      <c r="J139" s="123">
        <v>524746000</v>
      </c>
    </row>
    <row r="140" spans="1:10" ht="12" customHeight="1" outlineLevel="1">
      <c r="A140" s="109" t="s">
        <v>366</v>
      </c>
      <c r="B140" s="111"/>
      <c r="C140" s="110">
        <v>524746000</v>
      </c>
      <c r="D140" s="111"/>
      <c r="E140" s="111"/>
      <c r="F140" s="111"/>
      <c r="G140" s="110">
        <v>524746000</v>
      </c>
      <c r="J140" s="124">
        <v>524746000</v>
      </c>
    </row>
    <row r="141" spans="1:10" ht="12" customHeight="1">
      <c r="A141" s="106" t="s">
        <v>321</v>
      </c>
      <c r="B141" s="108"/>
      <c r="C141" s="107">
        <v>7754455499.2</v>
      </c>
      <c r="D141" s="107">
        <v>345004676</v>
      </c>
      <c r="E141" s="108"/>
      <c r="F141" s="108"/>
      <c r="G141" s="107">
        <v>7409450823.2</v>
      </c>
      <c r="J141" s="123">
        <v>7409450823.2</v>
      </c>
    </row>
    <row r="142" spans="1:10" ht="36" customHeight="1" outlineLevel="1">
      <c r="A142" s="109" t="s">
        <v>322</v>
      </c>
      <c r="B142" s="111"/>
      <c r="C142" s="110">
        <v>7754455499.2</v>
      </c>
      <c r="D142" s="110">
        <v>345004676</v>
      </c>
      <c r="E142" s="111"/>
      <c r="F142" s="111"/>
      <c r="G142" s="110">
        <v>7409450823.2</v>
      </c>
      <c r="J142" s="124">
        <v>7409450823.2</v>
      </c>
    </row>
    <row r="143" spans="1:10" ht="24" customHeight="1">
      <c r="A143" s="106" t="s">
        <v>323</v>
      </c>
      <c r="B143" s="108"/>
      <c r="C143" s="107">
        <v>5024691277.38</v>
      </c>
      <c r="D143" s="107">
        <v>1585046259.47</v>
      </c>
      <c r="E143" s="107">
        <v>2062001457.07</v>
      </c>
      <c r="F143" s="108"/>
      <c r="G143" s="107">
        <v>5501646474.98</v>
      </c>
      <c r="J143" s="123">
        <v>5501646474.98</v>
      </c>
    </row>
    <row r="144" spans="1:10" ht="36" customHeight="1" outlineLevel="1">
      <c r="A144" s="109" t="s">
        <v>324</v>
      </c>
      <c r="B144" s="111"/>
      <c r="C144" s="110">
        <v>1156626259.47</v>
      </c>
      <c r="D144" s="110">
        <v>1156626259.47</v>
      </c>
      <c r="E144" s="110">
        <v>560370521.6</v>
      </c>
      <c r="F144" s="111"/>
      <c r="G144" s="110">
        <v>560370521.6</v>
      </c>
      <c r="J144" s="124">
        <v>560370521.6</v>
      </c>
    </row>
    <row r="145" spans="1:10" ht="36" customHeight="1" outlineLevel="1">
      <c r="A145" s="109" t="s">
        <v>367</v>
      </c>
      <c r="B145" s="111"/>
      <c r="C145" s="110">
        <v>3868065017.91</v>
      </c>
      <c r="D145" s="110">
        <v>428420000</v>
      </c>
      <c r="E145" s="110">
        <v>1501630935.47</v>
      </c>
      <c r="F145" s="111"/>
      <c r="G145" s="110">
        <v>4941275953.38</v>
      </c>
      <c r="J145" s="124">
        <v>4941275953.38</v>
      </c>
    </row>
    <row r="146" spans="1:10" ht="24" customHeight="1">
      <c r="A146" s="106" t="s">
        <v>325</v>
      </c>
      <c r="B146" s="108"/>
      <c r="C146" s="108"/>
      <c r="D146" s="107">
        <v>4388116675.97</v>
      </c>
      <c r="E146" s="107">
        <v>4388116675.97</v>
      </c>
      <c r="F146" s="108"/>
      <c r="G146" s="108"/>
      <c r="J146" s="131"/>
    </row>
    <row r="147" spans="1:7" ht="24" customHeight="1" outlineLevel="1">
      <c r="A147" s="109" t="s">
        <v>326</v>
      </c>
      <c r="B147" s="111"/>
      <c r="C147" s="111"/>
      <c r="D147" s="110">
        <v>4388116675.97</v>
      </c>
      <c r="E147" s="110">
        <v>4388116675.97</v>
      </c>
      <c r="F147" s="111"/>
      <c r="G147" s="111"/>
    </row>
    <row r="148" spans="1:7" ht="24" customHeight="1">
      <c r="A148" s="106" t="s">
        <v>327</v>
      </c>
      <c r="B148" s="108"/>
      <c r="C148" s="108"/>
      <c r="D148" s="107">
        <v>4308121590.35</v>
      </c>
      <c r="E148" s="107">
        <v>4308121590.35</v>
      </c>
      <c r="F148" s="108"/>
      <c r="G148" s="108"/>
    </row>
    <row r="149" spans="1:7" ht="24" customHeight="1" outlineLevel="1">
      <c r="A149" s="109" t="s">
        <v>328</v>
      </c>
      <c r="B149" s="111"/>
      <c r="C149" s="111"/>
      <c r="D149" s="110">
        <v>4308121590.35</v>
      </c>
      <c r="E149" s="110">
        <v>4308121590.35</v>
      </c>
      <c r="F149" s="111"/>
      <c r="G149" s="111"/>
    </row>
    <row r="150" spans="1:7" ht="24" customHeight="1" outlineLevel="2">
      <c r="A150" s="115" t="s">
        <v>328</v>
      </c>
      <c r="B150" s="111"/>
      <c r="C150" s="111"/>
      <c r="D150" s="110">
        <v>356277448.88</v>
      </c>
      <c r="E150" s="110">
        <v>356277448.88</v>
      </c>
      <c r="F150" s="111"/>
      <c r="G150" s="111"/>
    </row>
    <row r="151" spans="1:7" ht="24" customHeight="1" outlineLevel="2">
      <c r="A151" s="115" t="s">
        <v>329</v>
      </c>
      <c r="B151" s="111"/>
      <c r="C151" s="111"/>
      <c r="D151" s="110">
        <v>3951844141.47</v>
      </c>
      <c r="E151" s="110">
        <v>3951844141.47</v>
      </c>
      <c r="F151" s="111"/>
      <c r="G151" s="111"/>
    </row>
    <row r="152" spans="1:7" ht="12" customHeight="1">
      <c r="A152" s="106" t="s">
        <v>378</v>
      </c>
      <c r="B152" s="108"/>
      <c r="C152" s="108"/>
      <c r="D152" s="107">
        <v>4889044.52</v>
      </c>
      <c r="E152" s="107">
        <v>4889044.52</v>
      </c>
      <c r="F152" s="108"/>
      <c r="G152" s="108"/>
    </row>
    <row r="153" spans="1:7" ht="24" customHeight="1" outlineLevel="1">
      <c r="A153" s="112" t="s">
        <v>379</v>
      </c>
      <c r="B153" s="114"/>
      <c r="C153" s="114"/>
      <c r="D153" s="113">
        <v>4889044.52</v>
      </c>
      <c r="E153" s="113">
        <v>4889044.52</v>
      </c>
      <c r="F153" s="114"/>
      <c r="G153" s="114"/>
    </row>
    <row r="154" spans="1:7" ht="48" customHeight="1" outlineLevel="2">
      <c r="A154" s="115" t="s">
        <v>380</v>
      </c>
      <c r="B154" s="111"/>
      <c r="C154" s="111"/>
      <c r="D154" s="110">
        <v>4889044.52</v>
      </c>
      <c r="E154" s="110">
        <v>4889044.52</v>
      </c>
      <c r="F154" s="111"/>
      <c r="G154" s="111"/>
    </row>
    <row r="155" spans="1:7" ht="12" customHeight="1">
      <c r="A155" s="106" t="s">
        <v>330</v>
      </c>
      <c r="B155" s="108"/>
      <c r="C155" s="108"/>
      <c r="D155" s="107">
        <v>75106041.1</v>
      </c>
      <c r="E155" s="107">
        <v>75106041.1</v>
      </c>
      <c r="F155" s="108"/>
      <c r="G155" s="108"/>
    </row>
    <row r="156" spans="1:7" ht="24" customHeight="1" outlineLevel="1">
      <c r="A156" s="109" t="s">
        <v>388</v>
      </c>
      <c r="B156" s="111"/>
      <c r="C156" s="111"/>
      <c r="D156" s="110">
        <v>598968.01</v>
      </c>
      <c r="E156" s="110">
        <v>598968.01</v>
      </c>
      <c r="F156" s="111"/>
      <c r="G156" s="111"/>
    </row>
    <row r="157" spans="1:7" ht="12" customHeight="1" outlineLevel="1">
      <c r="A157" s="109" t="s">
        <v>331</v>
      </c>
      <c r="B157" s="111"/>
      <c r="C157" s="111"/>
      <c r="D157" s="110">
        <v>74507073.09</v>
      </c>
      <c r="E157" s="110">
        <v>74507073.09</v>
      </c>
      <c r="F157" s="111"/>
      <c r="G157" s="111"/>
    </row>
    <row r="158" spans="1:7" ht="24" customHeight="1">
      <c r="A158" s="106" t="s">
        <v>332</v>
      </c>
      <c r="B158" s="108"/>
      <c r="C158" s="108"/>
      <c r="D158" s="107">
        <v>43820223.62</v>
      </c>
      <c r="E158" s="107">
        <v>43820223.62</v>
      </c>
      <c r="F158" s="108"/>
      <c r="G158" s="108"/>
    </row>
    <row r="159" spans="1:7" ht="24" customHeight="1" outlineLevel="1">
      <c r="A159" s="109" t="s">
        <v>333</v>
      </c>
      <c r="B159" s="111"/>
      <c r="C159" s="111"/>
      <c r="D159" s="110">
        <v>43820223.62</v>
      </c>
      <c r="E159" s="110">
        <v>43820223.62</v>
      </c>
      <c r="F159" s="111"/>
      <c r="G159" s="111"/>
    </row>
    <row r="160" spans="1:7" ht="24" customHeight="1">
      <c r="A160" s="106" t="s">
        <v>334</v>
      </c>
      <c r="B160" s="108"/>
      <c r="C160" s="108"/>
      <c r="D160" s="107">
        <v>417958331</v>
      </c>
      <c r="E160" s="107">
        <v>417958331</v>
      </c>
      <c r="F160" s="108"/>
      <c r="G160" s="108"/>
    </row>
    <row r="161" spans="1:7" ht="24" customHeight="1" outlineLevel="1">
      <c r="A161" s="109" t="s">
        <v>335</v>
      </c>
      <c r="B161" s="111"/>
      <c r="C161" s="111"/>
      <c r="D161" s="110">
        <v>241229265.3</v>
      </c>
      <c r="E161" s="110">
        <v>241229265.3</v>
      </c>
      <c r="F161" s="111"/>
      <c r="G161" s="111"/>
    </row>
    <row r="162" spans="1:7" ht="36" customHeight="1" outlineLevel="1">
      <c r="A162" s="109" t="s">
        <v>336</v>
      </c>
      <c r="B162" s="111"/>
      <c r="C162" s="111"/>
      <c r="D162" s="110">
        <v>161901158.9</v>
      </c>
      <c r="E162" s="110">
        <v>161901158.9</v>
      </c>
      <c r="F162" s="111"/>
      <c r="G162" s="111"/>
    </row>
    <row r="163" spans="1:7" ht="36" customHeight="1" outlineLevel="1">
      <c r="A163" s="109" t="s">
        <v>337</v>
      </c>
      <c r="B163" s="111"/>
      <c r="C163" s="111"/>
      <c r="D163" s="110">
        <v>14827906.8</v>
      </c>
      <c r="E163" s="110">
        <v>14827906.8</v>
      </c>
      <c r="F163" s="111"/>
      <c r="G163" s="111"/>
    </row>
    <row r="164" spans="1:7" ht="24" customHeight="1">
      <c r="A164" s="106" t="s">
        <v>338</v>
      </c>
      <c r="B164" s="108"/>
      <c r="C164" s="108"/>
      <c r="D164" s="107">
        <v>144583171.55</v>
      </c>
      <c r="E164" s="107">
        <v>144583171.55</v>
      </c>
      <c r="F164" s="108"/>
      <c r="G164" s="108"/>
    </row>
    <row r="165" spans="1:7" ht="24" customHeight="1" outlineLevel="1">
      <c r="A165" s="112" t="s">
        <v>339</v>
      </c>
      <c r="B165" s="114"/>
      <c r="C165" s="114"/>
      <c r="D165" s="113">
        <v>73284437.55</v>
      </c>
      <c r="E165" s="113">
        <v>73284437.55</v>
      </c>
      <c r="F165" s="114"/>
      <c r="G165" s="114"/>
    </row>
    <row r="166" spans="1:7" ht="48" customHeight="1" outlineLevel="2">
      <c r="A166" s="115" t="s">
        <v>340</v>
      </c>
      <c r="B166" s="111"/>
      <c r="C166" s="111"/>
      <c r="D166" s="110">
        <v>73284437.55</v>
      </c>
      <c r="E166" s="110">
        <v>73284437.55</v>
      </c>
      <c r="F166" s="111"/>
      <c r="G166" s="111"/>
    </row>
    <row r="167" spans="1:7" ht="24" customHeight="1" outlineLevel="1">
      <c r="A167" s="109" t="s">
        <v>341</v>
      </c>
      <c r="B167" s="111"/>
      <c r="C167" s="111"/>
      <c r="D167" s="110">
        <v>71298734</v>
      </c>
      <c r="E167" s="110">
        <v>71298734</v>
      </c>
      <c r="F167" s="111"/>
      <c r="G167" s="111"/>
    </row>
    <row r="168" spans="1:7" ht="12" customHeight="1">
      <c r="A168" s="106" t="s">
        <v>342</v>
      </c>
      <c r="B168" s="108"/>
      <c r="C168" s="108"/>
      <c r="D168" s="107">
        <v>1858233.49</v>
      </c>
      <c r="E168" s="107">
        <v>1858233.49</v>
      </c>
      <c r="F168" s="108"/>
      <c r="G168" s="108"/>
    </row>
    <row r="169" spans="1:7" ht="24" customHeight="1" outlineLevel="1">
      <c r="A169" s="112" t="s">
        <v>343</v>
      </c>
      <c r="B169" s="114"/>
      <c r="C169" s="114"/>
      <c r="D169" s="113">
        <v>1980323.4</v>
      </c>
      <c r="E169" s="113">
        <v>1980323.4</v>
      </c>
      <c r="F169" s="114"/>
      <c r="G169" s="114"/>
    </row>
    <row r="170" spans="1:7" ht="24" customHeight="1" outlineLevel="2">
      <c r="A170" s="115" t="s">
        <v>344</v>
      </c>
      <c r="B170" s="111"/>
      <c r="C170" s="111"/>
      <c r="D170" s="110">
        <v>1980323.4</v>
      </c>
      <c r="E170" s="110">
        <v>1980323.4</v>
      </c>
      <c r="F170" s="111"/>
      <c r="G170" s="111"/>
    </row>
    <row r="171" spans="1:7" ht="36" customHeight="1" outlineLevel="1">
      <c r="A171" s="109" t="s">
        <v>389</v>
      </c>
      <c r="B171" s="111"/>
      <c r="C171" s="111"/>
      <c r="D171" s="118">
        <v>-149540.29</v>
      </c>
      <c r="E171" s="118">
        <v>-149540.29</v>
      </c>
      <c r="F171" s="111"/>
      <c r="G171" s="111"/>
    </row>
    <row r="172" spans="1:7" ht="12" customHeight="1" outlineLevel="1">
      <c r="A172" s="109" t="s">
        <v>390</v>
      </c>
      <c r="B172" s="111"/>
      <c r="C172" s="111"/>
      <c r="D172" s="110">
        <v>27450.38</v>
      </c>
      <c r="E172" s="110">
        <v>27450.38</v>
      </c>
      <c r="F172" s="111"/>
      <c r="G172" s="111"/>
    </row>
    <row r="173" spans="1:7" ht="36" customHeight="1">
      <c r="A173" s="106" t="s">
        <v>345</v>
      </c>
      <c r="B173" s="108"/>
      <c r="C173" s="108"/>
      <c r="D173" s="107">
        <v>132196869</v>
      </c>
      <c r="E173" s="107">
        <v>132196869</v>
      </c>
      <c r="F173" s="108"/>
      <c r="G173" s="108"/>
    </row>
    <row r="174" spans="1:7" ht="36" customHeight="1" outlineLevel="1">
      <c r="A174" s="112" t="s">
        <v>346</v>
      </c>
      <c r="B174" s="114"/>
      <c r="C174" s="114"/>
      <c r="D174" s="113">
        <v>132196869</v>
      </c>
      <c r="E174" s="113">
        <v>132196869</v>
      </c>
      <c r="F174" s="114"/>
      <c r="G174" s="114"/>
    </row>
    <row r="175" spans="1:7" ht="48" customHeight="1" outlineLevel="2">
      <c r="A175" s="115" t="s">
        <v>391</v>
      </c>
      <c r="B175" s="111"/>
      <c r="C175" s="111"/>
      <c r="D175" s="118">
        <v>-23615104</v>
      </c>
      <c r="E175" s="118">
        <v>-23615104</v>
      </c>
      <c r="F175" s="111"/>
      <c r="G175" s="111"/>
    </row>
    <row r="176" spans="1:7" ht="48" customHeight="1" outlineLevel="2">
      <c r="A176" s="115" t="s">
        <v>347</v>
      </c>
      <c r="B176" s="111"/>
      <c r="C176" s="111"/>
      <c r="D176" s="110">
        <v>155811973</v>
      </c>
      <c r="E176" s="110">
        <v>155811973</v>
      </c>
      <c r="F176" s="111"/>
      <c r="G176" s="111"/>
    </row>
    <row r="177" spans="1:7" ht="12" customHeight="1">
      <c r="A177" s="106" t="s">
        <v>348</v>
      </c>
      <c r="B177" s="108"/>
      <c r="C177" s="108"/>
      <c r="D177" s="107">
        <v>1143604669.31</v>
      </c>
      <c r="E177" s="107">
        <v>1143604669.31</v>
      </c>
      <c r="F177" s="108"/>
      <c r="G177" s="108"/>
    </row>
    <row r="178" spans="1:7" ht="12" customHeight="1" outlineLevel="1">
      <c r="A178" s="109" t="s">
        <v>349</v>
      </c>
      <c r="B178" s="111"/>
      <c r="C178" s="111"/>
      <c r="D178" s="110">
        <v>1122168550.31</v>
      </c>
      <c r="E178" s="110">
        <v>1122168550.31</v>
      </c>
      <c r="F178" s="111"/>
      <c r="G178" s="111"/>
    </row>
    <row r="179" spans="1:7" ht="24" customHeight="1" outlineLevel="1">
      <c r="A179" s="109" t="s">
        <v>350</v>
      </c>
      <c r="B179" s="111"/>
      <c r="C179" s="111"/>
      <c r="D179" s="110">
        <v>2130871</v>
      </c>
      <c r="E179" s="110">
        <v>2130871</v>
      </c>
      <c r="F179" s="111"/>
      <c r="G179" s="111"/>
    </row>
    <row r="180" spans="1:7" ht="24" customHeight="1" outlineLevel="1">
      <c r="A180" s="109" t="s">
        <v>351</v>
      </c>
      <c r="B180" s="111"/>
      <c r="C180" s="111"/>
      <c r="D180" s="110">
        <v>19305248</v>
      </c>
      <c r="E180" s="110">
        <v>19305248</v>
      </c>
      <c r="F180" s="111"/>
      <c r="G180" s="111"/>
    </row>
    <row r="181" spans="1:7" ht="24" customHeight="1">
      <c r="A181" s="106" t="s">
        <v>352</v>
      </c>
      <c r="B181" s="108"/>
      <c r="C181" s="108"/>
      <c r="D181" s="107">
        <v>46394303.21</v>
      </c>
      <c r="E181" s="107">
        <v>46394303.21</v>
      </c>
      <c r="F181" s="108"/>
      <c r="G181" s="108"/>
    </row>
    <row r="182" spans="1:7" ht="24" customHeight="1" outlineLevel="1">
      <c r="A182" s="109" t="s">
        <v>353</v>
      </c>
      <c r="B182" s="111"/>
      <c r="C182" s="111"/>
      <c r="D182" s="110">
        <v>46394303.21</v>
      </c>
      <c r="E182" s="110">
        <v>46394303.21</v>
      </c>
      <c r="F182" s="111"/>
      <c r="G182" s="111"/>
    </row>
    <row r="183" spans="1:7" ht="12" customHeight="1">
      <c r="A183" s="106" t="s">
        <v>354</v>
      </c>
      <c r="B183" s="108"/>
      <c r="C183" s="108"/>
      <c r="D183" s="107">
        <v>1897330353.19</v>
      </c>
      <c r="E183" s="107">
        <v>1897330353.19</v>
      </c>
      <c r="F183" s="108"/>
      <c r="G183" s="108"/>
    </row>
    <row r="184" spans="1:7" ht="12" customHeight="1" outlineLevel="1">
      <c r="A184" s="109" t="s">
        <v>355</v>
      </c>
      <c r="B184" s="111"/>
      <c r="C184" s="111"/>
      <c r="D184" s="110">
        <v>1744790794.88</v>
      </c>
      <c r="E184" s="110">
        <v>1744790794.88</v>
      </c>
      <c r="F184" s="111"/>
      <c r="G184" s="111"/>
    </row>
    <row r="185" spans="1:7" ht="36" customHeight="1" outlineLevel="1">
      <c r="A185" s="112" t="s">
        <v>356</v>
      </c>
      <c r="B185" s="114"/>
      <c r="C185" s="114"/>
      <c r="D185" s="113">
        <v>152539558.31</v>
      </c>
      <c r="E185" s="113">
        <v>152539558.31</v>
      </c>
      <c r="F185" s="114"/>
      <c r="G185" s="114"/>
    </row>
    <row r="186" spans="1:7" ht="24" customHeight="1" outlineLevel="2">
      <c r="A186" s="115" t="s">
        <v>357</v>
      </c>
      <c r="B186" s="111"/>
      <c r="C186" s="111"/>
      <c r="D186" s="110">
        <v>5610898.82</v>
      </c>
      <c r="E186" s="110">
        <v>5610898.82</v>
      </c>
      <c r="F186" s="111"/>
      <c r="G186" s="111"/>
    </row>
    <row r="187" spans="1:7" ht="24" customHeight="1" outlineLevel="2">
      <c r="A187" s="115" t="s">
        <v>358</v>
      </c>
      <c r="B187" s="111"/>
      <c r="C187" s="111"/>
      <c r="D187" s="110">
        <v>9911687.08</v>
      </c>
      <c r="E187" s="110">
        <v>9911687.08</v>
      </c>
      <c r="F187" s="111"/>
      <c r="G187" s="111"/>
    </row>
    <row r="188" spans="1:7" ht="24" customHeight="1" outlineLevel="2">
      <c r="A188" s="115" t="s">
        <v>359</v>
      </c>
      <c r="B188" s="111"/>
      <c r="C188" s="111"/>
      <c r="D188" s="110">
        <v>137016972.41</v>
      </c>
      <c r="E188" s="110">
        <v>137016972.41</v>
      </c>
      <c r="F188" s="111"/>
      <c r="G188" s="111"/>
    </row>
    <row r="189" spans="1:7" ht="12" customHeight="1">
      <c r="A189" s="121" t="s">
        <v>77</v>
      </c>
      <c r="B189" s="122">
        <v>25481536561.7</v>
      </c>
      <c r="C189" s="122">
        <v>25481536561.7</v>
      </c>
      <c r="D189" s="122">
        <v>48989483846.94</v>
      </c>
      <c r="E189" s="122">
        <v>48989483846.94</v>
      </c>
      <c r="F189" s="122">
        <v>23844632843.74</v>
      </c>
      <c r="G189" s="122">
        <v>23844632843.74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S224"/>
  <sheetViews>
    <sheetView zoomScalePageLayoutView="0" workbookViewId="0" topLeftCell="A1">
      <selection activeCell="CL56" sqref="CL56"/>
    </sheetView>
  </sheetViews>
  <sheetFormatPr defaultColWidth="9.00390625" defaultRowHeight="12.75" outlineLevelCol="1"/>
  <cols>
    <col min="1" max="1" width="33.875" style="0" customWidth="1"/>
    <col min="2" max="2" width="18.00390625" style="144" customWidth="1" collapsed="1"/>
    <col min="3" max="3" width="12.125" style="144" hidden="1" customWidth="1" outlineLevel="1"/>
    <col min="4" max="4" width="16.75390625" style="226" hidden="1" customWidth="1" outlineLevel="1"/>
    <col min="5" max="5" width="13.625" style="226" hidden="1" customWidth="1" outlineLevel="1"/>
    <col min="6" max="6" width="9.125" style="226" hidden="1" customWidth="1" outlineLevel="1"/>
    <col min="7" max="7" width="10.00390625" style="226" hidden="1" customWidth="1" outlineLevel="1"/>
    <col min="8" max="8" width="13.125" style="226" hidden="1" customWidth="1" outlineLevel="1"/>
    <col min="9" max="11" width="12.875" style="226" hidden="1" customWidth="1" outlineLevel="1"/>
    <col min="12" max="12" width="3.125" style="226" hidden="1" customWidth="1" outlineLevel="1"/>
    <col min="13" max="13" width="5.25390625" style="226" hidden="1" customWidth="1" outlineLevel="1"/>
    <col min="14" max="15" width="3.125" style="226" hidden="1" customWidth="1" outlineLevel="1"/>
    <col min="16" max="16" width="23.00390625" style="226" hidden="1" customWidth="1" outlineLevel="1"/>
    <col min="17" max="17" width="6.125" style="226" hidden="1" customWidth="1" outlineLevel="1"/>
    <col min="18" max="18" width="10.00390625" style="226" hidden="1" customWidth="1" outlineLevel="1"/>
    <col min="19" max="19" width="3.125" style="226" hidden="1" customWidth="1" outlineLevel="1"/>
    <col min="20" max="20" width="5.25390625" style="226" hidden="1" customWidth="1" outlineLevel="1"/>
    <col min="21" max="25" width="3.125" style="226" hidden="1" customWidth="1" outlineLevel="1"/>
    <col min="26" max="26" width="5.875" style="226" hidden="1" customWidth="1" outlineLevel="1"/>
    <col min="27" max="28" width="5.25390625" style="226" hidden="1" customWidth="1" outlineLevel="1"/>
    <col min="29" max="30" width="3.125" style="226" hidden="1" customWidth="1" outlineLevel="1"/>
    <col min="31" max="31" width="9.375" style="226" hidden="1" customWidth="1" outlineLevel="1"/>
    <col min="32" max="32" width="7.00390625" style="226" hidden="1" customWidth="1" outlineLevel="1"/>
    <col min="33" max="36" width="3.125" style="226" hidden="1" customWidth="1" outlineLevel="1"/>
    <col min="37" max="37" width="5.25390625" style="226" hidden="1" customWidth="1" outlineLevel="1"/>
    <col min="38" max="38" width="3.125" style="226" hidden="1" customWidth="1" outlineLevel="1"/>
    <col min="39" max="39" width="5.25390625" style="226" hidden="1" customWidth="1" outlineLevel="1"/>
    <col min="40" max="40" width="3.125" style="226" hidden="1" customWidth="1" outlineLevel="1"/>
    <col min="41" max="41" width="5.25390625" style="226" hidden="1" customWidth="1" outlineLevel="1"/>
    <col min="42" max="42" width="3.125" style="226" hidden="1" customWidth="1" outlineLevel="1"/>
    <col min="43" max="43" width="18.00390625" style="144" customWidth="1" collapsed="1"/>
    <col min="44" max="44" width="15.75390625" style="144" bestFit="1" customWidth="1"/>
    <col min="45" max="45" width="18.00390625" style="144" customWidth="1"/>
    <col min="46" max="46" width="3.75390625" style="144" hidden="1" customWidth="1" outlineLevel="1"/>
    <col min="47" max="47" width="10.625" style="144" hidden="1" customWidth="1" outlineLevel="1"/>
    <col min="48" max="48" width="10.375" style="144" hidden="1" customWidth="1" outlineLevel="1"/>
    <col min="49" max="49" width="5.625" style="144" hidden="1" customWidth="1" outlineLevel="1"/>
    <col min="50" max="50" width="7.875" style="144" hidden="1" customWidth="1" outlineLevel="1"/>
    <col min="51" max="51" width="7.375" style="144" hidden="1" customWidth="1" outlineLevel="1"/>
    <col min="52" max="52" width="6.75390625" style="144" hidden="1" customWidth="1" outlineLevel="1"/>
    <col min="53" max="53" width="18.875" style="144" hidden="1" customWidth="1" outlineLevel="1"/>
    <col min="54" max="54" width="12.125" style="144" hidden="1" customWidth="1" outlineLevel="1"/>
    <col min="55" max="55" width="3.125" style="144" hidden="1" customWidth="1" outlineLevel="1"/>
    <col min="56" max="56" width="5.25390625" style="144" hidden="1" customWidth="1" outlineLevel="1"/>
    <col min="57" max="60" width="3.125" style="144" hidden="1" customWidth="1" outlineLevel="1"/>
    <col min="61" max="61" width="7.75390625" style="144" hidden="1" customWidth="1" outlineLevel="1"/>
    <col min="62" max="62" width="3.125" style="144" hidden="1" customWidth="1" outlineLevel="1"/>
    <col min="63" max="63" width="5.25390625" style="144" hidden="1" customWidth="1" outlineLevel="1"/>
    <col min="64" max="69" width="3.125" style="144" hidden="1" customWidth="1" outlineLevel="1"/>
    <col min="70" max="71" width="5.25390625" style="144" hidden="1" customWidth="1" outlineLevel="1"/>
    <col min="72" max="79" width="3.125" style="144" hidden="1" customWidth="1" outlineLevel="1"/>
    <col min="80" max="80" width="5.25390625" style="144" hidden="1" customWidth="1" outlineLevel="1"/>
    <col min="81" max="81" width="3.125" style="144" hidden="1" customWidth="1" outlineLevel="1"/>
    <col min="82" max="82" width="5.25390625" style="144" hidden="1" customWidth="1" outlineLevel="1"/>
    <col min="83" max="83" width="3.125" style="144" hidden="1" customWidth="1" outlineLevel="1"/>
    <col min="84" max="84" width="5.25390625" style="144" hidden="1" customWidth="1" outlineLevel="1"/>
    <col min="85" max="85" width="3.125" style="144" hidden="1" customWidth="1" outlineLevel="1"/>
    <col min="86" max="86" width="0.12890625" style="144" customWidth="1" collapsed="1"/>
    <col min="87" max="87" width="14.375" style="144" hidden="1" customWidth="1"/>
    <col min="88" max="88" width="18.00390625" style="144" hidden="1" customWidth="1"/>
    <col min="89" max="89" width="12.125" style="145" customWidth="1"/>
    <col min="90" max="90" width="20.375" style="145" customWidth="1"/>
    <col min="91" max="91" width="12.875" style="146" customWidth="1"/>
    <col min="92" max="93" width="9.125" style="146" customWidth="1"/>
    <col min="94" max="94" width="18.25390625" style="146" customWidth="1"/>
    <col min="95" max="95" width="9.125" style="146" customWidth="1"/>
    <col min="96" max="96" width="10.00390625" style="146" bestFit="1" customWidth="1"/>
    <col min="97" max="97" width="19.75390625" style="146" customWidth="1"/>
    <col min="98" max="99" width="9.125" style="146" customWidth="1"/>
    <col min="100" max="100" width="17.125" style="146" customWidth="1"/>
    <col min="101" max="102" width="9.125" style="146" customWidth="1"/>
    <col min="103" max="103" width="10.00390625" style="146" bestFit="1" customWidth="1"/>
    <col min="104" max="104" width="9.125" style="146" customWidth="1"/>
    <col min="105" max="105" width="14.875" style="146" bestFit="1" customWidth="1"/>
    <col min="106" max="16384" width="9.125" style="146" customWidth="1"/>
  </cols>
  <sheetData>
    <row r="1" spans="1:91" s="134" customFormat="1" ht="12.75">
      <c r="A1" s="132" t="s">
        <v>392</v>
      </c>
      <c r="B1" s="133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CK1" s="136"/>
      <c r="CL1" s="136"/>
      <c r="CM1" s="137"/>
    </row>
    <row r="2" spans="1:91" s="134" customFormat="1" ht="12.75">
      <c r="A2" s="132" t="s">
        <v>393</v>
      </c>
      <c r="B2" s="133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1"/>
      <c r="AR2" s="141"/>
      <c r="AS2" s="141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K2" s="136"/>
      <c r="CL2" s="136"/>
      <c r="CM2" s="137"/>
    </row>
    <row r="3" spans="1:85" ht="12.75">
      <c r="A3" s="142"/>
      <c r="B3" s="137"/>
      <c r="C3" s="137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</row>
    <row r="4" spans="1:90" s="148" customFormat="1" ht="12">
      <c r="A4" s="384" t="s">
        <v>394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4"/>
      <c r="BG4" s="384"/>
      <c r="BH4" s="384"/>
      <c r="BI4" s="384"/>
      <c r="BJ4" s="384"/>
      <c r="BK4" s="384"/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CI4" s="384"/>
      <c r="CJ4" s="384"/>
      <c r="CK4" s="147"/>
      <c r="CL4" s="147"/>
    </row>
    <row r="5" spans="1:90" s="148" customFormat="1" ht="12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5"/>
      <c r="CH5" s="385"/>
      <c r="CI5" s="385"/>
      <c r="CJ5" s="385"/>
      <c r="CK5" s="147"/>
      <c r="CL5" s="147"/>
    </row>
    <row r="6" spans="1:90" s="148" customFormat="1" ht="12">
      <c r="A6" s="386" t="s">
        <v>395</v>
      </c>
      <c r="B6" s="388" t="s">
        <v>396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2"/>
      <c r="BL6" s="382"/>
      <c r="BM6" s="382"/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BY6" s="382"/>
      <c r="BZ6" s="382"/>
      <c r="CA6" s="382"/>
      <c r="CB6" s="382"/>
      <c r="CC6" s="382"/>
      <c r="CD6" s="382"/>
      <c r="CE6" s="382"/>
      <c r="CF6" s="382"/>
      <c r="CG6" s="382"/>
      <c r="CH6" s="382"/>
      <c r="CI6" s="382"/>
      <c r="CJ6" s="383"/>
      <c r="CK6" s="147"/>
      <c r="CL6" s="147"/>
    </row>
    <row r="7" spans="1:88" ht="74.25" customHeight="1">
      <c r="A7" s="387"/>
      <c r="B7" s="149" t="s">
        <v>397</v>
      </c>
      <c r="C7" s="150" t="s">
        <v>398</v>
      </c>
      <c r="D7" s="150" t="s">
        <v>399</v>
      </c>
      <c r="E7" s="150" t="s">
        <v>400</v>
      </c>
      <c r="F7" s="150" t="s">
        <v>401</v>
      </c>
      <c r="G7" s="150" t="s">
        <v>402</v>
      </c>
      <c r="H7" s="151" t="s">
        <v>403</v>
      </c>
      <c r="I7" s="150" t="s">
        <v>404</v>
      </c>
      <c r="J7" s="151" t="s">
        <v>405</v>
      </c>
      <c r="K7" s="150" t="s">
        <v>406</v>
      </c>
      <c r="L7" s="150" t="s">
        <v>407</v>
      </c>
      <c r="M7" s="150" t="s">
        <v>408</v>
      </c>
      <c r="N7" s="150" t="s">
        <v>409</v>
      </c>
      <c r="O7" s="150" t="s">
        <v>410</v>
      </c>
      <c r="P7" s="150" t="s">
        <v>411</v>
      </c>
      <c r="Q7" s="150" t="s">
        <v>412</v>
      </c>
      <c r="R7" s="150" t="s">
        <v>413</v>
      </c>
      <c r="S7" s="150" t="s">
        <v>414</v>
      </c>
      <c r="T7" s="151" t="s">
        <v>415</v>
      </c>
      <c r="U7" s="151" t="s">
        <v>416</v>
      </c>
      <c r="V7" s="151" t="s">
        <v>417</v>
      </c>
      <c r="W7" s="151" t="s">
        <v>418</v>
      </c>
      <c r="X7" s="151" t="s">
        <v>419</v>
      </c>
      <c r="Y7" s="151" t="s">
        <v>420</v>
      </c>
      <c r="Z7" s="151" t="s">
        <v>421</v>
      </c>
      <c r="AA7" s="151" t="s">
        <v>422</v>
      </c>
      <c r="AB7" s="151" t="s">
        <v>423</v>
      </c>
      <c r="AC7" s="151" t="s">
        <v>424</v>
      </c>
      <c r="AD7" s="151" t="s">
        <v>425</v>
      </c>
      <c r="AE7" s="150" t="s">
        <v>426</v>
      </c>
      <c r="AF7" s="150" t="s">
        <v>427</v>
      </c>
      <c r="AG7" s="150" t="s">
        <v>428</v>
      </c>
      <c r="AH7" s="150" t="s">
        <v>429</v>
      </c>
      <c r="AI7" s="150" t="s">
        <v>430</v>
      </c>
      <c r="AJ7" s="150" t="s">
        <v>431</v>
      </c>
      <c r="AK7" s="150" t="s">
        <v>432</v>
      </c>
      <c r="AL7" s="150" t="s">
        <v>433</v>
      </c>
      <c r="AM7" s="150" t="s">
        <v>434</v>
      </c>
      <c r="AN7" s="150" t="s">
        <v>435</v>
      </c>
      <c r="AO7" s="150" t="s">
        <v>436</v>
      </c>
      <c r="AP7" s="150" t="s">
        <v>437</v>
      </c>
      <c r="AQ7" s="152" t="s">
        <v>438</v>
      </c>
      <c r="AR7" s="152" t="s">
        <v>439</v>
      </c>
      <c r="AS7" s="149" t="s">
        <v>77</v>
      </c>
      <c r="AT7" s="153" t="s">
        <v>398</v>
      </c>
      <c r="AU7" s="153" t="s">
        <v>399</v>
      </c>
      <c r="AV7" s="153" t="s">
        <v>400</v>
      </c>
      <c r="AW7" s="153" t="s">
        <v>401</v>
      </c>
      <c r="AX7" s="153" t="s">
        <v>402</v>
      </c>
      <c r="AY7" s="153" t="s">
        <v>403</v>
      </c>
      <c r="AZ7" s="153" t="s">
        <v>404</v>
      </c>
      <c r="BA7" s="153" t="s">
        <v>405</v>
      </c>
      <c r="BB7" s="153" t="s">
        <v>406</v>
      </c>
      <c r="BC7" s="153" t="s">
        <v>407</v>
      </c>
      <c r="BD7" s="153" t="s">
        <v>408</v>
      </c>
      <c r="BE7" s="153" t="s">
        <v>409</v>
      </c>
      <c r="BF7" s="153" t="s">
        <v>410</v>
      </c>
      <c r="BG7" s="154" t="s">
        <v>411</v>
      </c>
      <c r="BH7" s="154" t="s">
        <v>412</v>
      </c>
      <c r="BI7" s="154" t="s">
        <v>413</v>
      </c>
      <c r="BJ7" s="154" t="s">
        <v>414</v>
      </c>
      <c r="BK7" s="154" t="s">
        <v>415</v>
      </c>
      <c r="BL7" s="154" t="s">
        <v>416</v>
      </c>
      <c r="BM7" s="154" t="s">
        <v>417</v>
      </c>
      <c r="BN7" s="154" t="s">
        <v>418</v>
      </c>
      <c r="BO7" s="154" t="s">
        <v>419</v>
      </c>
      <c r="BP7" s="154" t="s">
        <v>420</v>
      </c>
      <c r="BQ7" s="154" t="s">
        <v>421</v>
      </c>
      <c r="BR7" s="154" t="s">
        <v>422</v>
      </c>
      <c r="BS7" s="154" t="s">
        <v>423</v>
      </c>
      <c r="BT7" s="154" t="s">
        <v>424</v>
      </c>
      <c r="BU7" s="154" t="s">
        <v>425</v>
      </c>
      <c r="BV7" s="154" t="s">
        <v>426</v>
      </c>
      <c r="BW7" s="154" t="s">
        <v>427</v>
      </c>
      <c r="BX7" s="154" t="s">
        <v>428</v>
      </c>
      <c r="BY7" s="154" t="s">
        <v>429</v>
      </c>
      <c r="BZ7" s="154" t="s">
        <v>430</v>
      </c>
      <c r="CA7" s="154" t="s">
        <v>431</v>
      </c>
      <c r="CB7" s="154" t="s">
        <v>432</v>
      </c>
      <c r="CC7" s="154" t="s">
        <v>433</v>
      </c>
      <c r="CD7" s="154" t="s">
        <v>434</v>
      </c>
      <c r="CE7" s="154" t="s">
        <v>435</v>
      </c>
      <c r="CF7" s="154" t="s">
        <v>436</v>
      </c>
      <c r="CG7" s="154" t="s">
        <v>437</v>
      </c>
      <c r="CH7" s="152" t="s">
        <v>438</v>
      </c>
      <c r="CI7" s="152" t="s">
        <v>439</v>
      </c>
      <c r="CJ7" s="149" t="s">
        <v>77</v>
      </c>
    </row>
    <row r="8" spans="1:91" s="161" customFormat="1" ht="24">
      <c r="A8" s="155" t="s">
        <v>440</v>
      </c>
      <c r="B8" s="156">
        <f aca="true" t="shared" si="0" ref="B8:AT8">B9+B38</f>
        <v>-1803039.144</v>
      </c>
      <c r="C8" s="156">
        <f t="shared" si="0"/>
        <v>0</v>
      </c>
      <c r="D8" s="156"/>
      <c r="E8" s="156"/>
      <c r="F8" s="156"/>
      <c r="G8" s="156"/>
      <c r="H8" s="156"/>
      <c r="I8" s="156"/>
      <c r="J8" s="156">
        <f t="shared" si="0"/>
        <v>0</v>
      </c>
      <c r="K8" s="156">
        <f t="shared" si="0"/>
        <v>0</v>
      </c>
      <c r="L8" s="156">
        <f t="shared" si="0"/>
        <v>0</v>
      </c>
      <c r="M8" s="156">
        <f t="shared" si="0"/>
        <v>0</v>
      </c>
      <c r="N8" s="156">
        <f t="shared" si="0"/>
        <v>0</v>
      </c>
      <c r="O8" s="156">
        <f t="shared" si="0"/>
        <v>0</v>
      </c>
      <c r="P8" s="156">
        <f t="shared" si="0"/>
        <v>0</v>
      </c>
      <c r="Q8" s="156">
        <f t="shared" si="0"/>
        <v>0</v>
      </c>
      <c r="R8" s="156">
        <f t="shared" si="0"/>
        <v>0</v>
      </c>
      <c r="S8" s="156">
        <f t="shared" si="0"/>
        <v>0</v>
      </c>
      <c r="T8" s="156">
        <f t="shared" si="0"/>
        <v>0</v>
      </c>
      <c r="U8" s="156">
        <f t="shared" si="0"/>
        <v>0</v>
      </c>
      <c r="V8" s="156">
        <f t="shared" si="0"/>
        <v>0</v>
      </c>
      <c r="W8" s="156">
        <f t="shared" si="0"/>
        <v>0</v>
      </c>
      <c r="X8" s="156">
        <f t="shared" si="0"/>
        <v>0</v>
      </c>
      <c r="Y8" s="156">
        <f t="shared" si="0"/>
        <v>0</v>
      </c>
      <c r="Z8" s="156">
        <f t="shared" si="0"/>
        <v>0</v>
      </c>
      <c r="AA8" s="156">
        <f t="shared" si="0"/>
        <v>0</v>
      </c>
      <c r="AB8" s="156">
        <f t="shared" si="0"/>
        <v>0</v>
      </c>
      <c r="AC8" s="156">
        <f t="shared" si="0"/>
        <v>0</v>
      </c>
      <c r="AD8" s="156">
        <f t="shared" si="0"/>
        <v>0</v>
      </c>
      <c r="AE8" s="156">
        <f t="shared" si="0"/>
        <v>0</v>
      </c>
      <c r="AF8" s="156">
        <f t="shared" si="0"/>
        <v>0</v>
      </c>
      <c r="AG8" s="156">
        <f t="shared" si="0"/>
        <v>0</v>
      </c>
      <c r="AH8" s="156">
        <f t="shared" si="0"/>
        <v>0</v>
      </c>
      <c r="AI8" s="156">
        <f t="shared" si="0"/>
        <v>0</v>
      </c>
      <c r="AJ8" s="156">
        <f t="shared" si="0"/>
        <v>0</v>
      </c>
      <c r="AK8" s="156">
        <f t="shared" si="0"/>
        <v>0</v>
      </c>
      <c r="AL8" s="156">
        <f t="shared" si="0"/>
        <v>0</v>
      </c>
      <c r="AM8" s="156">
        <f t="shared" si="0"/>
        <v>0</v>
      </c>
      <c r="AN8" s="156">
        <f t="shared" si="0"/>
        <v>0</v>
      </c>
      <c r="AO8" s="156">
        <f t="shared" si="0"/>
        <v>0</v>
      </c>
      <c r="AP8" s="156">
        <f t="shared" si="0"/>
        <v>0</v>
      </c>
      <c r="AQ8" s="157">
        <f t="shared" si="0"/>
        <v>1102014.3460000004</v>
      </c>
      <c r="AR8" s="158">
        <f t="shared" si="0"/>
        <v>0</v>
      </c>
      <c r="AS8" s="157">
        <f t="shared" si="0"/>
        <v>1469693.7489999998</v>
      </c>
      <c r="AT8" s="158">
        <f t="shared" si="0"/>
        <v>0</v>
      </c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9">
        <f>CH9+CH38</f>
        <v>497440</v>
      </c>
      <c r="CI8" s="160">
        <f>CI9+CI38</f>
        <v>0</v>
      </c>
      <c r="CJ8" s="160" t="e">
        <f>CJ9+CJ38</f>
        <v>#REF!</v>
      </c>
      <c r="CK8" s="145"/>
      <c r="CL8" s="145"/>
      <c r="CM8" s="146"/>
    </row>
    <row r="9" spans="1:90" s="161" customFormat="1" ht="24">
      <c r="A9" s="162" t="s">
        <v>441</v>
      </c>
      <c r="B9" s="156"/>
      <c r="C9" s="156"/>
      <c r="D9" s="156"/>
      <c r="E9" s="156"/>
      <c r="F9" s="156"/>
      <c r="G9" s="156"/>
      <c r="H9" s="156"/>
      <c r="I9" s="156"/>
      <c r="J9" s="156">
        <f aca="true" t="shared" si="1" ref="J9:AP9">J10+J11+J12+J13+J14+J15+J21+J35+J36+J37</f>
        <v>0</v>
      </c>
      <c r="K9" s="156">
        <f t="shared" si="1"/>
        <v>0</v>
      </c>
      <c r="L9" s="156">
        <f t="shared" si="1"/>
        <v>0</v>
      </c>
      <c r="M9" s="156">
        <f t="shared" si="1"/>
        <v>0</v>
      </c>
      <c r="N9" s="156">
        <f t="shared" si="1"/>
        <v>0</v>
      </c>
      <c r="O9" s="156">
        <f t="shared" si="1"/>
        <v>0</v>
      </c>
      <c r="P9" s="156">
        <f t="shared" si="1"/>
        <v>0</v>
      </c>
      <c r="Q9" s="156">
        <f t="shared" si="1"/>
        <v>0</v>
      </c>
      <c r="R9" s="156">
        <f t="shared" si="1"/>
        <v>0</v>
      </c>
      <c r="S9" s="156">
        <f t="shared" si="1"/>
        <v>0</v>
      </c>
      <c r="T9" s="156">
        <f t="shared" si="1"/>
        <v>0</v>
      </c>
      <c r="U9" s="156">
        <f t="shared" si="1"/>
        <v>0</v>
      </c>
      <c r="V9" s="156">
        <f t="shared" si="1"/>
        <v>0</v>
      </c>
      <c r="W9" s="156">
        <f t="shared" si="1"/>
        <v>0</v>
      </c>
      <c r="X9" s="156">
        <f t="shared" si="1"/>
        <v>0</v>
      </c>
      <c r="Y9" s="156">
        <f t="shared" si="1"/>
        <v>0</v>
      </c>
      <c r="Z9" s="156">
        <f t="shared" si="1"/>
        <v>0</v>
      </c>
      <c r="AA9" s="156">
        <f t="shared" si="1"/>
        <v>0</v>
      </c>
      <c r="AB9" s="156">
        <f t="shared" si="1"/>
        <v>0</v>
      </c>
      <c r="AC9" s="156">
        <f t="shared" si="1"/>
        <v>0</v>
      </c>
      <c r="AD9" s="156">
        <f t="shared" si="1"/>
        <v>0</v>
      </c>
      <c r="AE9" s="156">
        <f t="shared" si="1"/>
        <v>0</v>
      </c>
      <c r="AF9" s="156">
        <f t="shared" si="1"/>
        <v>0</v>
      </c>
      <c r="AG9" s="156">
        <f t="shared" si="1"/>
        <v>0</v>
      </c>
      <c r="AH9" s="156">
        <f t="shared" si="1"/>
        <v>0</v>
      </c>
      <c r="AI9" s="156">
        <f t="shared" si="1"/>
        <v>0</v>
      </c>
      <c r="AJ9" s="156">
        <f t="shared" si="1"/>
        <v>0</v>
      </c>
      <c r="AK9" s="156">
        <f t="shared" si="1"/>
        <v>0</v>
      </c>
      <c r="AL9" s="156">
        <f t="shared" si="1"/>
        <v>0</v>
      </c>
      <c r="AM9" s="156">
        <f t="shared" si="1"/>
        <v>0</v>
      </c>
      <c r="AN9" s="156">
        <f t="shared" si="1"/>
        <v>0</v>
      </c>
      <c r="AO9" s="156">
        <f t="shared" si="1"/>
        <v>0</v>
      </c>
      <c r="AP9" s="156">
        <f t="shared" si="1"/>
        <v>0</v>
      </c>
      <c r="AQ9" s="157">
        <f>AQ10+AQ11+AQ12+AQ13+AQ14+AQ15+AQ21+AQ35+AQ36+AQ37</f>
        <v>2995416.1440000003</v>
      </c>
      <c r="AR9" s="157">
        <f>+SUM(AR10:AR37)</f>
        <v>0</v>
      </c>
      <c r="AS9" s="163">
        <f>AS10+AS11+AS12+AS13+AS14+AS15+AS21+AS35+AS36+AS37</f>
        <v>5166134.691</v>
      </c>
      <c r="AT9" s="157">
        <f>+SUM(AT10:AT37)</f>
        <v>0</v>
      </c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64">
        <f>+SUM(CH10:CH37)</f>
        <v>1962224</v>
      </c>
      <c r="CI9" s="156">
        <f>+SUM(CI10:CI37)</f>
        <v>0</v>
      </c>
      <c r="CJ9" s="156" t="e">
        <f>+SUM(CJ10:CJ37)</f>
        <v>#REF!</v>
      </c>
      <c r="CK9" s="165"/>
      <c r="CL9" s="145"/>
    </row>
    <row r="10" spans="1:95" s="161" customFormat="1" ht="12">
      <c r="A10" s="166" t="s">
        <v>442</v>
      </c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67"/>
      <c r="AQ10" s="157"/>
      <c r="AR10" s="168"/>
      <c r="AS10" s="157">
        <f aca="true" t="shared" si="2" ref="AS10:AS68">+B10+AQ10+AR10</f>
        <v>0</v>
      </c>
      <c r="AT10" s="168"/>
      <c r="AU10" s="157">
        <v>57431</v>
      </c>
      <c r="AV10" s="157">
        <v>16557</v>
      </c>
      <c r="AW10" s="157">
        <v>808</v>
      </c>
      <c r="AX10" s="157"/>
      <c r="AY10" s="157"/>
      <c r="AZ10" s="157">
        <v>457</v>
      </c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57">
        <v>626197</v>
      </c>
      <c r="CI10" s="169"/>
      <c r="CJ10" s="156" t="e">
        <f>+#REF!+CH10+CI10</f>
        <v>#REF!</v>
      </c>
      <c r="CK10" s="165"/>
      <c r="CL10" s="145"/>
      <c r="CQ10" s="170"/>
    </row>
    <row r="11" spans="1:90" s="161" customFormat="1" ht="15">
      <c r="A11" s="166" t="s">
        <v>443</v>
      </c>
      <c r="B11" s="156">
        <f>SUM(C11:AP11)</f>
        <v>1981416.6169999999</v>
      </c>
      <c r="C11" s="157"/>
      <c r="D11" s="157">
        <v>1932954.47</v>
      </c>
      <c r="E11" s="157">
        <v>46035.47</v>
      </c>
      <c r="F11" s="157">
        <v>1742.312</v>
      </c>
      <c r="G11" s="157"/>
      <c r="H11" s="157"/>
      <c r="I11" s="157">
        <v>684.365</v>
      </c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6"/>
      <c r="AQ11" s="157">
        <v>2887187.79</v>
      </c>
      <c r="AR11" s="168"/>
      <c r="AS11" s="157">
        <f t="shared" si="2"/>
        <v>4868604.407</v>
      </c>
      <c r="AT11" s="168"/>
      <c r="AU11" s="171"/>
      <c r="AV11" s="171"/>
      <c r="AW11" s="171"/>
      <c r="AX11" s="171"/>
      <c r="AY11" s="171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72"/>
      <c r="CI11" s="169"/>
      <c r="CJ11" s="156" t="e">
        <f>+#REF!+CH11+CI11</f>
        <v>#REF!</v>
      </c>
      <c r="CK11" s="165"/>
      <c r="CL11" s="145"/>
    </row>
    <row r="12" spans="1:90" s="161" customFormat="1" ht="12">
      <c r="A12" s="166" t="s">
        <v>119</v>
      </c>
      <c r="B12" s="156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6"/>
      <c r="AQ12" s="157"/>
      <c r="AR12" s="168"/>
      <c r="AS12" s="157">
        <f t="shared" si="2"/>
        <v>0</v>
      </c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72"/>
      <c r="CI12" s="169"/>
      <c r="CJ12" s="156" t="e">
        <f>+#REF!+CH12+CI12</f>
        <v>#REF!</v>
      </c>
      <c r="CK12" s="165"/>
      <c r="CL12" s="145"/>
    </row>
    <row r="13" spans="1:90" s="161" customFormat="1" ht="12">
      <c r="A13" s="166" t="s">
        <v>444</v>
      </c>
      <c r="B13" s="156">
        <f>SUM(C13:AP13)</f>
        <v>189301.93</v>
      </c>
      <c r="C13" s="156">
        <f>C14+C15+C16+C17+C18+C19+C25+C39+C40+C41</f>
        <v>0</v>
      </c>
      <c r="D13" s="173">
        <v>189301.93</v>
      </c>
      <c r="E13" s="173"/>
      <c r="F13" s="173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6"/>
      <c r="AQ13" s="163">
        <v>22105.529</v>
      </c>
      <c r="AR13" s="168"/>
      <c r="AS13" s="157">
        <f t="shared" si="2"/>
        <v>211407.459</v>
      </c>
      <c r="AT13" s="168"/>
      <c r="AU13" s="157">
        <v>1182800</v>
      </c>
      <c r="AV13" s="157">
        <v>6846</v>
      </c>
      <c r="AW13" s="157">
        <v>131</v>
      </c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57">
        <v>1314805</v>
      </c>
      <c r="CI13" s="169"/>
      <c r="CJ13" s="156" t="e">
        <f>+#REF!+CH13+CI13</f>
        <v>#REF!</v>
      </c>
      <c r="CK13" s="165"/>
      <c r="CL13" s="145"/>
    </row>
    <row r="14" spans="1:90" s="161" customFormat="1" ht="12">
      <c r="A14" s="166" t="s">
        <v>445</v>
      </c>
      <c r="B14" s="15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6"/>
      <c r="AQ14" s="157"/>
      <c r="AR14" s="168"/>
      <c r="AS14" s="157">
        <f t="shared" si="2"/>
        <v>0</v>
      </c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72"/>
      <c r="CI14" s="169"/>
      <c r="CJ14" s="156" t="e">
        <f>+#REF!+CH14+CI14</f>
        <v>#REF!</v>
      </c>
      <c r="CK14" s="174"/>
      <c r="CL14" s="145"/>
    </row>
    <row r="15" spans="1:90" s="161" customFormat="1" ht="36" customHeight="1">
      <c r="A15" s="166" t="s">
        <v>446</v>
      </c>
      <c r="B15" s="156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6"/>
      <c r="AQ15" s="157">
        <f>SUM(AQ16:AQ20)</f>
        <v>0</v>
      </c>
      <c r="AR15" s="157">
        <f>SUM(AR16:AR20)</f>
        <v>0</v>
      </c>
      <c r="AS15" s="157">
        <f t="shared" si="2"/>
        <v>0</v>
      </c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72"/>
      <c r="CI15" s="175"/>
      <c r="CJ15" s="156" t="e">
        <f>+#REF!+CH15+CI15</f>
        <v>#REF!</v>
      </c>
      <c r="CK15" s="165"/>
      <c r="CL15" s="145"/>
    </row>
    <row r="16" spans="1:90" s="161" customFormat="1" ht="33.75">
      <c r="A16" s="176" t="s">
        <v>447</v>
      </c>
      <c r="B16" s="156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6"/>
      <c r="AQ16" s="157"/>
      <c r="AR16" s="168"/>
      <c r="AS16" s="157">
        <f t="shared" si="2"/>
        <v>0</v>
      </c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72"/>
      <c r="CI16" s="175"/>
      <c r="CJ16" s="156" t="e">
        <f>+#REF!+CH16+CI16</f>
        <v>#REF!</v>
      </c>
      <c r="CK16" s="165"/>
      <c r="CL16" s="145"/>
    </row>
    <row r="17" spans="1:90" s="161" customFormat="1" ht="33.75">
      <c r="A17" s="176" t="s">
        <v>448</v>
      </c>
      <c r="B17" s="156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6"/>
      <c r="AQ17" s="157"/>
      <c r="AR17" s="168"/>
      <c r="AS17" s="157">
        <f t="shared" si="2"/>
        <v>0</v>
      </c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72"/>
      <c r="CI17" s="175"/>
      <c r="CJ17" s="156" t="e">
        <f>+#REF!+CH17+CI17</f>
        <v>#REF!</v>
      </c>
      <c r="CK17" s="165"/>
      <c r="CL17" s="145"/>
    </row>
    <row r="18" spans="1:90" s="161" customFormat="1" ht="22.5">
      <c r="A18" s="176" t="s">
        <v>449</v>
      </c>
      <c r="B18" s="156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6"/>
      <c r="AQ18" s="157"/>
      <c r="AR18" s="168"/>
      <c r="AS18" s="157">
        <f t="shared" si="2"/>
        <v>0</v>
      </c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72"/>
      <c r="CI18" s="175"/>
      <c r="CJ18" s="156" t="e">
        <f>+#REF!+CH18+CI18</f>
        <v>#REF!</v>
      </c>
      <c r="CK18" s="165"/>
      <c r="CL18" s="145"/>
    </row>
    <row r="19" spans="1:90" s="161" customFormat="1" ht="22.5">
      <c r="A19" s="176" t="s">
        <v>450</v>
      </c>
      <c r="B19" s="156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6"/>
      <c r="AQ19" s="157"/>
      <c r="AR19" s="168"/>
      <c r="AS19" s="157">
        <f t="shared" si="2"/>
        <v>0</v>
      </c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72"/>
      <c r="CI19" s="175"/>
      <c r="CJ19" s="156" t="e">
        <f>+#REF!+CH19+CI19</f>
        <v>#REF!</v>
      </c>
      <c r="CK19" s="165"/>
      <c r="CL19" s="145"/>
    </row>
    <row r="20" spans="1:90" s="161" customFormat="1" ht="33.75">
      <c r="A20" s="176" t="s">
        <v>451</v>
      </c>
      <c r="B20" s="156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6"/>
      <c r="AQ20" s="157"/>
      <c r="AR20" s="168"/>
      <c r="AS20" s="157">
        <f t="shared" si="2"/>
        <v>0</v>
      </c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72"/>
      <c r="CI20" s="175"/>
      <c r="CJ20" s="156" t="e">
        <f>+#REF!+CH20+CI20</f>
        <v>#REF!</v>
      </c>
      <c r="CK20" s="165"/>
      <c r="CL20" s="145"/>
    </row>
    <row r="21" spans="1:100" s="161" customFormat="1" ht="36">
      <c r="A21" s="166" t="s">
        <v>452</v>
      </c>
      <c r="B21" s="156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6"/>
      <c r="AQ21" s="157">
        <f>SUM(AQ22:AQ34)</f>
        <v>0</v>
      </c>
      <c r="AR21" s="157">
        <f>SUM(AR22:AR34)</f>
        <v>0</v>
      </c>
      <c r="AS21" s="157">
        <f t="shared" si="2"/>
        <v>0</v>
      </c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77"/>
      <c r="CI21" s="178"/>
      <c r="CJ21" s="156" t="e">
        <f>+#REF!+CH21+CI21</f>
        <v>#REF!</v>
      </c>
      <c r="CK21" s="165"/>
      <c r="CL21" s="145"/>
      <c r="CS21" s="179"/>
      <c r="CV21" s="179"/>
    </row>
    <row r="22" spans="1:90" s="161" customFormat="1" ht="22.5">
      <c r="A22" s="176" t="s">
        <v>453</v>
      </c>
      <c r="B22" s="156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6"/>
      <c r="AQ22" s="156"/>
      <c r="AR22" s="178"/>
      <c r="AS22" s="156">
        <f t="shared" si="2"/>
        <v>0</v>
      </c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8"/>
      <c r="CI22" s="178"/>
      <c r="CJ22" s="156" t="e">
        <f>+#REF!+CH22+CI22</f>
        <v>#REF!</v>
      </c>
      <c r="CK22" s="165"/>
      <c r="CL22" s="145"/>
    </row>
    <row r="23" spans="1:90" s="161" customFormat="1" ht="22.5">
      <c r="A23" s="176" t="s">
        <v>454</v>
      </c>
      <c r="B23" s="156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6"/>
      <c r="AQ23" s="156"/>
      <c r="AR23" s="178"/>
      <c r="AS23" s="156">
        <f t="shared" si="2"/>
        <v>0</v>
      </c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8"/>
      <c r="CI23" s="178"/>
      <c r="CJ23" s="156" t="e">
        <f>+#REF!+CH23+CI23</f>
        <v>#REF!</v>
      </c>
      <c r="CK23" s="165"/>
      <c r="CL23" s="145"/>
    </row>
    <row r="24" spans="1:90" s="161" customFormat="1" ht="22.5">
      <c r="A24" s="176" t="s">
        <v>455</v>
      </c>
      <c r="B24" s="156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6"/>
      <c r="AQ24" s="156"/>
      <c r="AR24" s="178"/>
      <c r="AS24" s="156">
        <f t="shared" si="2"/>
        <v>0</v>
      </c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8"/>
      <c r="CI24" s="178"/>
      <c r="CJ24" s="156" t="e">
        <f>+#REF!+CH24+CI24</f>
        <v>#REF!</v>
      </c>
      <c r="CK24" s="165"/>
      <c r="CL24" s="145"/>
    </row>
    <row r="25" spans="1:90" s="161" customFormat="1" ht="22.5">
      <c r="A25" s="176" t="s">
        <v>456</v>
      </c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6"/>
      <c r="AQ25" s="156"/>
      <c r="AR25" s="178"/>
      <c r="AS25" s="156">
        <f t="shared" si="2"/>
        <v>0</v>
      </c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8"/>
      <c r="CI25" s="178"/>
      <c r="CJ25" s="156" t="e">
        <f>+#REF!+CH25+CI25</f>
        <v>#REF!</v>
      </c>
      <c r="CK25" s="165"/>
      <c r="CL25" s="145"/>
    </row>
    <row r="26" spans="1:90" s="161" customFormat="1" ht="22.5">
      <c r="A26" s="176" t="s">
        <v>457</v>
      </c>
      <c r="B26" s="156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6"/>
      <c r="AQ26" s="156"/>
      <c r="AR26" s="178"/>
      <c r="AS26" s="156">
        <f t="shared" si="2"/>
        <v>0</v>
      </c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8"/>
      <c r="CI26" s="178"/>
      <c r="CJ26" s="156" t="e">
        <f>+#REF!+CH26+CI26</f>
        <v>#REF!</v>
      </c>
      <c r="CK26" s="165"/>
      <c r="CL26" s="145"/>
    </row>
    <row r="27" spans="1:90" s="161" customFormat="1" ht="12">
      <c r="A27" s="176" t="s">
        <v>458</v>
      </c>
      <c r="B27" s="156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6"/>
      <c r="AQ27" s="156"/>
      <c r="AR27" s="178"/>
      <c r="AS27" s="156">
        <f t="shared" si="2"/>
        <v>0</v>
      </c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8"/>
      <c r="CI27" s="178"/>
      <c r="CJ27" s="156" t="e">
        <f>+#REF!+CH27+CI27</f>
        <v>#REF!</v>
      </c>
      <c r="CK27" s="165"/>
      <c r="CL27" s="145"/>
    </row>
    <row r="28" spans="1:90" s="161" customFormat="1" ht="22.5">
      <c r="A28" s="176" t="s">
        <v>459</v>
      </c>
      <c r="B28" s="156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6"/>
      <c r="AQ28" s="156"/>
      <c r="AR28" s="178"/>
      <c r="AS28" s="156">
        <f t="shared" si="2"/>
        <v>0</v>
      </c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8"/>
      <c r="CI28" s="178"/>
      <c r="CJ28" s="156" t="e">
        <f>+#REF!+CH28+CI28</f>
        <v>#REF!</v>
      </c>
      <c r="CK28" s="165"/>
      <c r="CL28" s="145"/>
    </row>
    <row r="29" spans="1:90" s="161" customFormat="1" ht="22.5">
      <c r="A29" s="176" t="s">
        <v>460</v>
      </c>
      <c r="B29" s="156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6"/>
      <c r="AQ29" s="156"/>
      <c r="AR29" s="178"/>
      <c r="AS29" s="156">
        <f t="shared" si="2"/>
        <v>0</v>
      </c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8"/>
      <c r="CI29" s="178"/>
      <c r="CJ29" s="156" t="e">
        <f>+#REF!+CH29+CI29</f>
        <v>#REF!</v>
      </c>
      <c r="CK29" s="165"/>
      <c r="CL29" s="145"/>
    </row>
    <row r="30" spans="1:90" s="161" customFormat="1" ht="22.5">
      <c r="A30" s="176" t="s">
        <v>461</v>
      </c>
      <c r="B30" s="156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6"/>
      <c r="AQ30" s="156"/>
      <c r="AR30" s="178"/>
      <c r="AS30" s="156">
        <f t="shared" si="2"/>
        <v>0</v>
      </c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8"/>
      <c r="CI30" s="178"/>
      <c r="CJ30" s="156" t="e">
        <f>+#REF!+CH30+CI30</f>
        <v>#REF!</v>
      </c>
      <c r="CK30" s="165"/>
      <c r="CL30" s="145"/>
    </row>
    <row r="31" spans="1:90" s="161" customFormat="1" ht="22.5">
      <c r="A31" s="176" t="s">
        <v>462</v>
      </c>
      <c r="B31" s="156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6"/>
      <c r="AQ31" s="156"/>
      <c r="AR31" s="180"/>
      <c r="AS31" s="156">
        <f t="shared" si="2"/>
        <v>0</v>
      </c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8"/>
      <c r="CI31" s="180"/>
      <c r="CJ31" s="156" t="e">
        <f>+#REF!+CH31+CI31</f>
        <v>#REF!</v>
      </c>
      <c r="CK31" s="165"/>
      <c r="CL31" s="145"/>
    </row>
    <row r="32" spans="1:90" s="161" customFormat="1" ht="22.5">
      <c r="A32" s="176" t="s">
        <v>463</v>
      </c>
      <c r="B32" s="156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6"/>
      <c r="AQ32" s="156"/>
      <c r="AR32" s="180"/>
      <c r="AS32" s="156">
        <f t="shared" si="2"/>
        <v>0</v>
      </c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8"/>
      <c r="CI32" s="180"/>
      <c r="CJ32" s="156" t="e">
        <f>+#REF!+CH32+CI32</f>
        <v>#REF!</v>
      </c>
      <c r="CK32" s="165"/>
      <c r="CL32" s="145"/>
    </row>
    <row r="33" spans="1:90" s="161" customFormat="1" ht="22.5">
      <c r="A33" s="176" t="s">
        <v>464</v>
      </c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6"/>
      <c r="AQ33" s="156"/>
      <c r="AR33" s="180"/>
      <c r="AS33" s="156">
        <f t="shared" si="2"/>
        <v>0</v>
      </c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8"/>
      <c r="CI33" s="180"/>
      <c r="CJ33" s="156" t="e">
        <f>+#REF!+CH33+CI33</f>
        <v>#REF!</v>
      </c>
      <c r="CK33" s="165"/>
      <c r="CL33" s="145"/>
    </row>
    <row r="34" spans="1:90" s="161" customFormat="1" ht="33.75">
      <c r="A34" s="176" t="s">
        <v>465</v>
      </c>
      <c r="B34" s="156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6"/>
      <c r="AQ34" s="156"/>
      <c r="AR34" s="178"/>
      <c r="AS34" s="156">
        <f t="shared" si="2"/>
        <v>0</v>
      </c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8"/>
      <c r="CI34" s="178"/>
      <c r="CJ34" s="156" t="e">
        <f>+#REF!+CH34+CI34</f>
        <v>#REF!</v>
      </c>
      <c r="CK34" s="165"/>
      <c r="CL34" s="145"/>
    </row>
    <row r="35" spans="1:100" s="161" customFormat="1" ht="24">
      <c r="A35" s="166" t="s">
        <v>466</v>
      </c>
      <c r="B35" s="156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6"/>
      <c r="AQ35" s="156"/>
      <c r="AR35" s="169"/>
      <c r="AS35" s="156">
        <f t="shared" si="2"/>
        <v>0</v>
      </c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8"/>
      <c r="CI35" s="169"/>
      <c r="CJ35" s="156" t="e">
        <f>+#REF!+CH35+CI35</f>
        <v>#REF!</v>
      </c>
      <c r="CK35" s="165"/>
      <c r="CL35" s="145"/>
      <c r="CS35" s="170"/>
      <c r="CV35" s="170"/>
    </row>
    <row r="36" spans="1:90" s="161" customFormat="1" ht="24">
      <c r="A36" s="166" t="s">
        <v>467</v>
      </c>
      <c r="B36" s="156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6"/>
      <c r="AQ36" s="157"/>
      <c r="AR36" s="168"/>
      <c r="AS36" s="157">
        <f t="shared" si="2"/>
        <v>0</v>
      </c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81"/>
      <c r="CI36" s="169"/>
      <c r="CJ36" s="156" t="e">
        <f>+#REF!+CH36+CI36</f>
        <v>#REF!</v>
      </c>
      <c r="CK36" s="165"/>
      <c r="CL36" s="145"/>
    </row>
    <row r="37" spans="1:103" s="161" customFormat="1" ht="12.75">
      <c r="A37" s="166" t="s">
        <v>123</v>
      </c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6"/>
      <c r="AQ37" s="157">
        <v>86122.825</v>
      </c>
      <c r="AR37" s="168"/>
      <c r="AS37" s="163">
        <f t="shared" si="2"/>
        <v>86122.825</v>
      </c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57">
        <v>21222</v>
      </c>
      <c r="CI37" s="169"/>
      <c r="CJ37" s="156" t="e">
        <f>+#REF!+CH37+CI37</f>
        <v>#REF!</v>
      </c>
      <c r="CK37" s="165"/>
      <c r="CL37" s="145"/>
      <c r="CQ37" s="170"/>
      <c r="CY37" s="182"/>
    </row>
    <row r="38" spans="1:90" s="161" customFormat="1" ht="12">
      <c r="A38" s="162" t="s">
        <v>468</v>
      </c>
      <c r="B38" s="157">
        <f aca="true" t="shared" si="3" ref="B38:AR38">B39+B40+B41+B42+B51+B52+B53+B66+B67+B68</f>
        <v>-1803039.144</v>
      </c>
      <c r="C38" s="157">
        <f t="shared" si="3"/>
        <v>0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>
        <f t="shared" si="3"/>
        <v>0</v>
      </c>
      <c r="T38" s="157">
        <f t="shared" si="3"/>
        <v>0</v>
      </c>
      <c r="U38" s="157">
        <f t="shared" si="3"/>
        <v>0</v>
      </c>
      <c r="V38" s="157">
        <f t="shared" si="3"/>
        <v>0</v>
      </c>
      <c r="W38" s="157">
        <f t="shared" si="3"/>
        <v>0</v>
      </c>
      <c r="X38" s="157">
        <f t="shared" si="3"/>
        <v>0</v>
      </c>
      <c r="Y38" s="157">
        <f t="shared" si="3"/>
        <v>0</v>
      </c>
      <c r="Z38" s="157">
        <f t="shared" si="3"/>
        <v>0</v>
      </c>
      <c r="AA38" s="157">
        <f t="shared" si="3"/>
        <v>0</v>
      </c>
      <c r="AB38" s="157">
        <f t="shared" si="3"/>
        <v>0</v>
      </c>
      <c r="AC38" s="157">
        <f t="shared" si="3"/>
        <v>0</v>
      </c>
      <c r="AD38" s="157">
        <f t="shared" si="3"/>
        <v>0</v>
      </c>
      <c r="AE38" s="157"/>
      <c r="AF38" s="157">
        <f t="shared" si="3"/>
        <v>0</v>
      </c>
      <c r="AG38" s="157">
        <f t="shared" si="3"/>
        <v>0</v>
      </c>
      <c r="AH38" s="157">
        <f t="shared" si="3"/>
        <v>0</v>
      </c>
      <c r="AI38" s="157">
        <f t="shared" si="3"/>
        <v>0</v>
      </c>
      <c r="AJ38" s="157">
        <f t="shared" si="3"/>
        <v>0</v>
      </c>
      <c r="AK38" s="157">
        <f t="shared" si="3"/>
        <v>0</v>
      </c>
      <c r="AL38" s="157">
        <f t="shared" si="3"/>
        <v>0</v>
      </c>
      <c r="AM38" s="157">
        <f t="shared" si="3"/>
        <v>0</v>
      </c>
      <c r="AN38" s="157">
        <f t="shared" si="3"/>
        <v>0</v>
      </c>
      <c r="AO38" s="157">
        <f t="shared" si="3"/>
        <v>0</v>
      </c>
      <c r="AP38" s="156">
        <f t="shared" si="3"/>
        <v>0</v>
      </c>
      <c r="AQ38" s="157">
        <f>AQ39+AQ40+AQ41+AQ42+AQ51+AQ52+AQ53+AQ66+AQ67+AQ68</f>
        <v>-1893401.798</v>
      </c>
      <c r="AR38" s="157">
        <f t="shared" si="3"/>
        <v>0</v>
      </c>
      <c r="AS38" s="157">
        <f>+B38+AQ38+AR38</f>
        <v>-3696440.942</v>
      </c>
      <c r="AT38" s="157">
        <f>+SUM(AT39:AT68)</f>
        <v>0</v>
      </c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>
        <f>CH39+CH40+CH41+CH42+CH51+CH52+CH53+CH66+CH67+CH68</f>
        <v>-1464784</v>
      </c>
      <c r="CI38" s="156">
        <f>+SUM(CI39:CI68)</f>
        <v>0</v>
      </c>
      <c r="CJ38" s="156" t="e">
        <f>+#REF!+CH38+CI38</f>
        <v>#REF!</v>
      </c>
      <c r="CK38" s="165"/>
      <c r="CL38" s="145"/>
    </row>
    <row r="39" spans="1:90" s="161" customFormat="1" ht="24">
      <c r="A39" s="166" t="s">
        <v>125</v>
      </c>
      <c r="B39" s="156">
        <f>SUM(D39:AO39)</f>
        <v>-1734819.144</v>
      </c>
      <c r="C39" s="157"/>
      <c r="D39" s="157">
        <v>-59662.927</v>
      </c>
      <c r="E39" s="157"/>
      <c r="F39" s="157">
        <v>-1274.137</v>
      </c>
      <c r="G39" s="157">
        <v>-298352.862</v>
      </c>
      <c r="H39" s="157">
        <v>-1366224.383</v>
      </c>
      <c r="I39" s="157">
        <v>-329.387</v>
      </c>
      <c r="J39" s="157"/>
      <c r="K39" s="157"/>
      <c r="L39" s="157"/>
      <c r="M39" s="157"/>
      <c r="N39" s="157"/>
      <c r="O39" s="157"/>
      <c r="P39" s="157"/>
      <c r="Q39" s="157"/>
      <c r="R39" s="157">
        <v>-2380</v>
      </c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>
        <v>-6595.448</v>
      </c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67"/>
      <c r="AQ39" s="183">
        <v>-681518.507</v>
      </c>
      <c r="AR39" s="168"/>
      <c r="AS39" s="163">
        <f t="shared" si="2"/>
        <v>-2416337.651</v>
      </c>
      <c r="AT39" s="168"/>
      <c r="AU39" s="157">
        <v>-3676</v>
      </c>
      <c r="AV39" s="157"/>
      <c r="AW39" s="157">
        <v>-133</v>
      </c>
      <c r="AX39" s="157">
        <v>-3141</v>
      </c>
      <c r="AY39" s="157">
        <v>-12345</v>
      </c>
      <c r="AZ39" s="157">
        <v>-141</v>
      </c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57">
        <v>-414509</v>
      </c>
      <c r="CI39" s="169"/>
      <c r="CJ39" s="156" t="e">
        <f>+#REF!+CH39+CI39</f>
        <v>#REF!</v>
      </c>
      <c r="CK39" s="165"/>
      <c r="CL39" s="145"/>
    </row>
    <row r="40" spans="1:90" s="161" customFormat="1" ht="12">
      <c r="A40" s="166" t="s">
        <v>469</v>
      </c>
      <c r="B40" s="156">
        <f>SUM(C40:AP40)</f>
        <v>-1020</v>
      </c>
      <c r="C40" s="157"/>
      <c r="D40" s="157"/>
      <c r="E40" s="184"/>
      <c r="F40" s="184"/>
      <c r="G40" s="184"/>
      <c r="H40" s="184"/>
      <c r="I40" s="184"/>
      <c r="J40" s="157"/>
      <c r="K40" s="157"/>
      <c r="L40" s="157"/>
      <c r="M40" s="157"/>
      <c r="N40" s="157"/>
      <c r="O40" s="157"/>
      <c r="P40" s="157">
        <v>-1020</v>
      </c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67"/>
      <c r="AQ40" s="157">
        <v>-1938.213</v>
      </c>
      <c r="AR40" s="168"/>
      <c r="AS40" s="163">
        <f t="shared" si="2"/>
        <v>-2958.2129999999997</v>
      </c>
      <c r="AT40" s="168"/>
      <c r="AU40" s="157">
        <v>-28735</v>
      </c>
      <c r="AV40" s="157"/>
      <c r="AW40" s="157"/>
      <c r="AX40" s="157">
        <v>-23405</v>
      </c>
      <c r="AY40" s="157">
        <v>-993064</v>
      </c>
      <c r="AZ40" s="157">
        <v>-287</v>
      </c>
      <c r="BA40" s="157"/>
      <c r="BB40" s="157"/>
      <c r="BC40" s="157"/>
      <c r="BD40" s="157"/>
      <c r="BE40" s="157"/>
      <c r="BF40" s="157"/>
      <c r="BG40" s="157"/>
      <c r="BH40" s="157"/>
      <c r="BI40" s="157">
        <v>-1300</v>
      </c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57">
        <v>-110841</v>
      </c>
      <c r="CI40" s="169"/>
      <c r="CJ40" s="156" t="e">
        <f>+#REF!+CH40+CI40</f>
        <v>#REF!</v>
      </c>
      <c r="CK40" s="165"/>
      <c r="CL40" s="145"/>
    </row>
    <row r="41" spans="1:90" s="161" customFormat="1" ht="12">
      <c r="A41" s="166" t="s">
        <v>470</v>
      </c>
      <c r="B41" s="156">
        <f>SUM(C41:AP41)</f>
        <v>0</v>
      </c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6"/>
      <c r="AQ41" s="183">
        <v>-574430.392</v>
      </c>
      <c r="AR41" s="168"/>
      <c r="AS41" s="157">
        <f t="shared" si="2"/>
        <v>-574430.392</v>
      </c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57">
        <v>-423747</v>
      </c>
      <c r="CI41" s="169"/>
      <c r="CJ41" s="156" t="e">
        <f>+#REF!+CH41+CI41</f>
        <v>#REF!</v>
      </c>
      <c r="CK41" s="165"/>
      <c r="CL41" s="145"/>
    </row>
    <row r="42" spans="1:90" s="161" customFormat="1" ht="12">
      <c r="A42" s="166" t="s">
        <v>471</v>
      </c>
      <c r="B42" s="156">
        <f>SUM(B43:B50)</f>
        <v>-67200</v>
      </c>
      <c r="C42" s="157">
        <f aca="true" t="shared" si="4" ref="C42:AP42">SUM(C43:C50)</f>
        <v>0</v>
      </c>
      <c r="D42" s="157">
        <f t="shared" si="4"/>
        <v>0</v>
      </c>
      <c r="E42" s="157"/>
      <c r="F42" s="157">
        <f t="shared" si="4"/>
        <v>0</v>
      </c>
      <c r="G42" s="157">
        <f t="shared" si="4"/>
        <v>0</v>
      </c>
      <c r="H42" s="157">
        <f t="shared" si="4"/>
        <v>0</v>
      </c>
      <c r="I42" s="157">
        <f t="shared" si="4"/>
        <v>0</v>
      </c>
      <c r="J42" s="157">
        <f t="shared" si="4"/>
        <v>0</v>
      </c>
      <c r="K42" s="157">
        <f t="shared" si="4"/>
        <v>0</v>
      </c>
      <c r="L42" s="157">
        <f t="shared" si="4"/>
        <v>0</v>
      </c>
      <c r="M42" s="157">
        <f t="shared" si="4"/>
        <v>0</v>
      </c>
      <c r="N42" s="157">
        <f t="shared" si="4"/>
        <v>0</v>
      </c>
      <c r="O42" s="157">
        <f t="shared" si="4"/>
        <v>0</v>
      </c>
      <c r="P42" s="157"/>
      <c r="Q42" s="157">
        <f t="shared" si="4"/>
        <v>0</v>
      </c>
      <c r="R42" s="157">
        <f t="shared" si="4"/>
        <v>0</v>
      </c>
      <c r="S42" s="157">
        <f t="shared" si="4"/>
        <v>0</v>
      </c>
      <c r="T42" s="157">
        <f t="shared" si="4"/>
        <v>0</v>
      </c>
      <c r="U42" s="157">
        <f t="shared" si="4"/>
        <v>0</v>
      </c>
      <c r="V42" s="157">
        <f t="shared" si="4"/>
        <v>0</v>
      </c>
      <c r="W42" s="157">
        <f t="shared" si="4"/>
        <v>0</v>
      </c>
      <c r="X42" s="157">
        <f t="shared" si="4"/>
        <v>0</v>
      </c>
      <c r="Y42" s="157">
        <f t="shared" si="4"/>
        <v>0</v>
      </c>
      <c r="Z42" s="157">
        <f t="shared" si="4"/>
        <v>0</v>
      </c>
      <c r="AA42" s="157">
        <f t="shared" si="4"/>
        <v>0</v>
      </c>
      <c r="AB42" s="157">
        <f t="shared" si="4"/>
        <v>0</v>
      </c>
      <c r="AC42" s="157">
        <f t="shared" si="4"/>
        <v>0</v>
      </c>
      <c r="AD42" s="157">
        <f t="shared" si="4"/>
        <v>0</v>
      </c>
      <c r="AE42" s="157">
        <f t="shared" si="4"/>
        <v>0</v>
      </c>
      <c r="AF42" s="157">
        <f t="shared" si="4"/>
        <v>0</v>
      </c>
      <c r="AG42" s="157">
        <f t="shared" si="4"/>
        <v>0</v>
      </c>
      <c r="AH42" s="157">
        <f t="shared" si="4"/>
        <v>0</v>
      </c>
      <c r="AI42" s="157">
        <f t="shared" si="4"/>
        <v>0</v>
      </c>
      <c r="AJ42" s="157">
        <f t="shared" si="4"/>
        <v>0</v>
      </c>
      <c r="AK42" s="157">
        <f t="shared" si="4"/>
        <v>0</v>
      </c>
      <c r="AL42" s="157">
        <f t="shared" si="4"/>
        <v>0</v>
      </c>
      <c r="AM42" s="157">
        <f t="shared" si="4"/>
        <v>0</v>
      </c>
      <c r="AN42" s="157">
        <f t="shared" si="4"/>
        <v>0</v>
      </c>
      <c r="AO42" s="157">
        <f t="shared" si="4"/>
        <v>0</v>
      </c>
      <c r="AP42" s="156">
        <f t="shared" si="4"/>
        <v>0</v>
      </c>
      <c r="AQ42" s="156">
        <f>SUM(AQ43:AQ50)</f>
        <v>-63193.6</v>
      </c>
      <c r="AR42" s="168"/>
      <c r="AS42" s="157">
        <f t="shared" si="2"/>
        <v>-130393.6</v>
      </c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57">
        <f>SUM(CH43:CH50)</f>
        <v>-186409</v>
      </c>
      <c r="CI42" s="169"/>
      <c r="CJ42" s="156" t="e">
        <f>+#REF!+CH42+CI42</f>
        <v>#REF!</v>
      </c>
      <c r="CK42" s="165"/>
      <c r="CL42" s="145"/>
    </row>
    <row r="43" spans="1:90" s="161" customFormat="1" ht="22.5">
      <c r="A43" s="176" t="s">
        <v>472</v>
      </c>
      <c r="B43" s="156">
        <f aca="true" t="shared" si="5" ref="B43:B68">SUM(C43:AP43)</f>
        <v>0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6"/>
      <c r="AQ43" s="157"/>
      <c r="AR43" s="168"/>
      <c r="AS43" s="157">
        <f t="shared" si="2"/>
        <v>0</v>
      </c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57">
        <v>-186409</v>
      </c>
      <c r="CI43" s="156"/>
      <c r="CJ43" s="156" t="e">
        <f>+#REF!+CH43+CI43</f>
        <v>#REF!</v>
      </c>
      <c r="CK43" s="165"/>
      <c r="CL43" s="145"/>
    </row>
    <row r="44" spans="1:90" s="161" customFormat="1" ht="22.5">
      <c r="A44" s="176" t="s">
        <v>473</v>
      </c>
      <c r="B44" s="156">
        <f t="shared" si="5"/>
        <v>-67200</v>
      </c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>
        <v>-67200</v>
      </c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6"/>
      <c r="AQ44" s="157">
        <v>-63193.6</v>
      </c>
      <c r="AR44" s="168"/>
      <c r="AS44" s="157">
        <f t="shared" si="2"/>
        <v>-130393.6</v>
      </c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72"/>
      <c r="CI44" s="175"/>
      <c r="CJ44" s="156" t="e">
        <f>+#REF!+CH44+CI44</f>
        <v>#REF!</v>
      </c>
      <c r="CK44" s="165"/>
      <c r="CL44" s="145"/>
    </row>
    <row r="45" spans="1:90" s="161" customFormat="1" ht="22.5">
      <c r="A45" s="176" t="s">
        <v>474</v>
      </c>
      <c r="B45" s="156">
        <f t="shared" si="5"/>
        <v>0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7"/>
      <c r="AR45" s="168"/>
      <c r="AS45" s="157">
        <f t="shared" si="2"/>
        <v>0</v>
      </c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8"/>
      <c r="BR45" s="168"/>
      <c r="BS45" s="168"/>
      <c r="BT45" s="168"/>
      <c r="BU45" s="168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72"/>
      <c r="CI45" s="175"/>
      <c r="CJ45" s="156" t="e">
        <f>+#REF!+CH45+CI45</f>
        <v>#REF!</v>
      </c>
      <c r="CK45" s="165"/>
      <c r="CL45" s="145"/>
    </row>
    <row r="46" spans="1:90" s="161" customFormat="1" ht="22.5">
      <c r="A46" s="176" t="s">
        <v>475</v>
      </c>
      <c r="B46" s="156">
        <f t="shared" si="5"/>
        <v>0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7"/>
      <c r="AR46" s="168"/>
      <c r="AS46" s="157">
        <f t="shared" si="2"/>
        <v>0</v>
      </c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72"/>
      <c r="CI46" s="175"/>
      <c r="CJ46" s="156" t="e">
        <f>+#REF!+CH46+CI46</f>
        <v>#REF!</v>
      </c>
      <c r="CK46" s="165"/>
      <c r="CL46" s="145"/>
    </row>
    <row r="47" spans="1:90" s="161" customFormat="1" ht="33.75">
      <c r="A47" s="176" t="s">
        <v>476</v>
      </c>
      <c r="B47" s="156">
        <f t="shared" si="5"/>
        <v>0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7"/>
      <c r="AR47" s="168"/>
      <c r="AS47" s="157">
        <f t="shared" si="2"/>
        <v>0</v>
      </c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72"/>
      <c r="CI47" s="175"/>
      <c r="CJ47" s="156" t="e">
        <f>+#REF!+CH47+CI47</f>
        <v>#REF!</v>
      </c>
      <c r="CK47" s="165"/>
      <c r="CL47" s="145"/>
    </row>
    <row r="48" spans="1:90" s="161" customFormat="1" ht="33.75">
      <c r="A48" s="176" t="s">
        <v>477</v>
      </c>
      <c r="B48" s="156">
        <f t="shared" si="5"/>
        <v>0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7"/>
      <c r="AR48" s="168"/>
      <c r="AS48" s="157">
        <f t="shared" si="2"/>
        <v>0</v>
      </c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8"/>
      <c r="CC48" s="168"/>
      <c r="CD48" s="168"/>
      <c r="CE48" s="168"/>
      <c r="CF48" s="168"/>
      <c r="CG48" s="168"/>
      <c r="CH48" s="172"/>
      <c r="CI48" s="175"/>
      <c r="CJ48" s="156" t="e">
        <f>+#REF!+CH48+CI48</f>
        <v>#REF!</v>
      </c>
      <c r="CK48" s="165"/>
      <c r="CL48" s="145"/>
    </row>
    <row r="49" spans="1:90" s="161" customFormat="1" ht="22.5">
      <c r="A49" s="176" t="s">
        <v>478</v>
      </c>
      <c r="B49" s="156">
        <f t="shared" si="5"/>
        <v>0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7"/>
      <c r="AR49" s="157"/>
      <c r="AS49" s="157">
        <f t="shared" si="2"/>
        <v>0</v>
      </c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64"/>
      <c r="CI49" s="156"/>
      <c r="CJ49" s="156" t="e">
        <f>+#REF!+CH49+CI49</f>
        <v>#REF!</v>
      </c>
      <c r="CK49" s="185"/>
      <c r="CL49" s="145"/>
    </row>
    <row r="50" spans="1:90" s="161" customFormat="1" ht="22.5">
      <c r="A50" s="176" t="s">
        <v>479</v>
      </c>
      <c r="B50" s="156">
        <f t="shared" si="5"/>
        <v>0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7"/>
      <c r="AR50" s="157"/>
      <c r="AS50" s="157">
        <f t="shared" si="2"/>
        <v>0</v>
      </c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64"/>
      <c r="CI50" s="156"/>
      <c r="CJ50" s="156" t="e">
        <f>+#REF!+CH50+CI50</f>
        <v>#REF!</v>
      </c>
      <c r="CK50" s="185"/>
      <c r="CL50" s="145"/>
    </row>
    <row r="51" spans="1:90" s="161" customFormat="1" ht="12">
      <c r="A51" s="166" t="s">
        <v>480</v>
      </c>
      <c r="B51" s="156">
        <f t="shared" si="5"/>
        <v>0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7">
        <v>-109865.842</v>
      </c>
      <c r="AR51" s="168"/>
      <c r="AS51" s="157">
        <f t="shared" si="2"/>
        <v>-109865.842</v>
      </c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8"/>
      <c r="CC51" s="168"/>
      <c r="CD51" s="168"/>
      <c r="CE51" s="168"/>
      <c r="CF51" s="168"/>
      <c r="CG51" s="168"/>
      <c r="CH51" s="172"/>
      <c r="CI51" s="169"/>
      <c r="CJ51" s="156" t="e">
        <f>+#REF!+CH51+CI51</f>
        <v>#REF!</v>
      </c>
      <c r="CK51" s="165"/>
      <c r="CL51" s="145">
        <f>AS51+AS52</f>
        <v>-314682.44700000004</v>
      </c>
    </row>
    <row r="52" spans="1:100" s="161" customFormat="1" ht="12">
      <c r="A52" s="166" t="s">
        <v>481</v>
      </c>
      <c r="B52" s="156">
        <f t="shared" si="5"/>
        <v>0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7">
        <v>-204816.605</v>
      </c>
      <c r="AR52" s="168"/>
      <c r="AS52" s="157">
        <f t="shared" si="2"/>
        <v>-204816.605</v>
      </c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57">
        <v>-294482</v>
      </c>
      <c r="CI52" s="169"/>
      <c r="CJ52" s="156" t="e">
        <f>+#REF!+CH52+CI52</f>
        <v>#REF!</v>
      </c>
      <c r="CK52" s="165"/>
      <c r="CL52" s="145"/>
      <c r="CS52" s="170"/>
      <c r="CV52" s="186"/>
    </row>
    <row r="53" spans="1:95" s="161" customFormat="1" ht="36">
      <c r="A53" s="166" t="s">
        <v>482</v>
      </c>
      <c r="B53" s="156">
        <f>SUM(B54:B65)</f>
        <v>0</v>
      </c>
      <c r="C53" s="156">
        <f aca="true" t="shared" si="6" ref="C53:AR53">SUM(C54:C65)</f>
        <v>0</v>
      </c>
      <c r="D53" s="156">
        <f t="shared" si="6"/>
        <v>0</v>
      </c>
      <c r="E53" s="156">
        <f t="shared" si="6"/>
        <v>0</v>
      </c>
      <c r="F53" s="156">
        <f t="shared" si="6"/>
        <v>0</v>
      </c>
      <c r="G53" s="156">
        <f t="shared" si="6"/>
        <v>0</v>
      </c>
      <c r="H53" s="156">
        <f t="shared" si="6"/>
        <v>0</v>
      </c>
      <c r="I53" s="156">
        <f t="shared" si="6"/>
        <v>0</v>
      </c>
      <c r="J53" s="156">
        <f t="shared" si="6"/>
        <v>0</v>
      </c>
      <c r="K53" s="156">
        <f t="shared" si="6"/>
        <v>0</v>
      </c>
      <c r="L53" s="156">
        <f t="shared" si="6"/>
        <v>0</v>
      </c>
      <c r="M53" s="156">
        <f t="shared" si="6"/>
        <v>0</v>
      </c>
      <c r="N53" s="156">
        <f t="shared" si="6"/>
        <v>0</v>
      </c>
      <c r="O53" s="156">
        <f t="shared" si="6"/>
        <v>0</v>
      </c>
      <c r="P53" s="156">
        <f t="shared" si="6"/>
        <v>0</v>
      </c>
      <c r="Q53" s="156">
        <f t="shared" si="6"/>
        <v>0</v>
      </c>
      <c r="R53" s="156">
        <f t="shared" si="6"/>
        <v>0</v>
      </c>
      <c r="S53" s="156">
        <f t="shared" si="6"/>
        <v>0</v>
      </c>
      <c r="T53" s="156">
        <f t="shared" si="6"/>
        <v>0</v>
      </c>
      <c r="U53" s="156">
        <f t="shared" si="6"/>
        <v>0</v>
      </c>
      <c r="V53" s="156">
        <f t="shared" si="6"/>
        <v>0</v>
      </c>
      <c r="W53" s="156">
        <f t="shared" si="6"/>
        <v>0</v>
      </c>
      <c r="X53" s="156">
        <f t="shared" si="6"/>
        <v>0</v>
      </c>
      <c r="Y53" s="156">
        <f t="shared" si="6"/>
        <v>0</v>
      </c>
      <c r="Z53" s="156">
        <f t="shared" si="6"/>
        <v>0</v>
      </c>
      <c r="AA53" s="156">
        <f t="shared" si="6"/>
        <v>0</v>
      </c>
      <c r="AB53" s="156">
        <f t="shared" si="6"/>
        <v>0</v>
      </c>
      <c r="AC53" s="156">
        <f t="shared" si="6"/>
        <v>0</v>
      </c>
      <c r="AD53" s="156">
        <f t="shared" si="6"/>
        <v>0</v>
      </c>
      <c r="AE53" s="156">
        <f t="shared" si="6"/>
        <v>0</v>
      </c>
      <c r="AF53" s="156">
        <f t="shared" si="6"/>
        <v>0</v>
      </c>
      <c r="AG53" s="156">
        <f t="shared" si="6"/>
        <v>0</v>
      </c>
      <c r="AH53" s="156">
        <f t="shared" si="6"/>
        <v>0</v>
      </c>
      <c r="AI53" s="156">
        <f t="shared" si="6"/>
        <v>0</v>
      </c>
      <c r="AJ53" s="156">
        <f t="shared" si="6"/>
        <v>0</v>
      </c>
      <c r="AK53" s="156">
        <f t="shared" si="6"/>
        <v>0</v>
      </c>
      <c r="AL53" s="156">
        <f t="shared" si="6"/>
        <v>0</v>
      </c>
      <c r="AM53" s="156">
        <f t="shared" si="6"/>
        <v>0</v>
      </c>
      <c r="AN53" s="156">
        <f t="shared" si="6"/>
        <v>0</v>
      </c>
      <c r="AO53" s="156">
        <f t="shared" si="6"/>
        <v>0</v>
      </c>
      <c r="AP53" s="156">
        <f t="shared" si="6"/>
        <v>0</v>
      </c>
      <c r="AQ53" s="156">
        <f t="shared" si="6"/>
        <v>0</v>
      </c>
      <c r="AR53" s="156">
        <f t="shared" si="6"/>
        <v>0</v>
      </c>
      <c r="AS53" s="156">
        <f t="shared" si="2"/>
        <v>0</v>
      </c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87"/>
      <c r="CI53" s="175"/>
      <c r="CJ53" s="156" t="e">
        <f>+#REF!+CH53+CI53</f>
        <v>#REF!</v>
      </c>
      <c r="CK53" s="165"/>
      <c r="CL53" s="145">
        <v>109865.842</v>
      </c>
      <c r="CQ53" s="170"/>
    </row>
    <row r="54" spans="1:90" s="161" customFormat="1" ht="22.5">
      <c r="A54" s="176" t="s">
        <v>483</v>
      </c>
      <c r="B54" s="156">
        <f t="shared" si="5"/>
        <v>0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75"/>
      <c r="AS54" s="156">
        <f t="shared" si="2"/>
        <v>0</v>
      </c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87"/>
      <c r="CI54" s="175"/>
      <c r="CJ54" s="156" t="e">
        <f>+#REF!+CH54+CI54</f>
        <v>#REF!</v>
      </c>
      <c r="CK54" s="165"/>
      <c r="CL54" s="145">
        <f>204816.605</f>
        <v>204816.605</v>
      </c>
    </row>
    <row r="55" spans="1:90" s="161" customFormat="1" ht="22.5">
      <c r="A55" s="176" t="s">
        <v>484</v>
      </c>
      <c r="B55" s="156">
        <f t="shared" si="5"/>
        <v>0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75"/>
      <c r="AS55" s="156">
        <f t="shared" si="2"/>
        <v>0</v>
      </c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87"/>
      <c r="CI55" s="175"/>
      <c r="CJ55" s="156" t="e">
        <f>+#REF!+CH55+CI55</f>
        <v>#REF!</v>
      </c>
      <c r="CK55" s="165"/>
      <c r="CL55" s="145"/>
    </row>
    <row r="56" spans="1:90" s="161" customFormat="1" ht="22.5">
      <c r="A56" s="176" t="s">
        <v>485</v>
      </c>
      <c r="B56" s="156">
        <f t="shared" si="5"/>
        <v>0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75"/>
      <c r="AS56" s="156">
        <f t="shared" si="2"/>
        <v>0</v>
      </c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87"/>
      <c r="CI56" s="175"/>
      <c r="CJ56" s="156" t="e">
        <f>+#REF!+CH56+CI56</f>
        <v>#REF!</v>
      </c>
      <c r="CK56" s="165"/>
      <c r="CL56" s="236">
        <f>SUM(CL53:CL55)</f>
        <v>314682.44700000004</v>
      </c>
    </row>
    <row r="57" spans="1:90" s="161" customFormat="1" ht="22.5">
      <c r="A57" s="176" t="s">
        <v>486</v>
      </c>
      <c r="B57" s="156">
        <f t="shared" si="5"/>
        <v>0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75"/>
      <c r="AS57" s="156">
        <f t="shared" si="2"/>
        <v>0</v>
      </c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87"/>
      <c r="CI57" s="175"/>
      <c r="CJ57" s="156" t="e">
        <f>+#REF!+CH57+CI57</f>
        <v>#REF!</v>
      </c>
      <c r="CK57" s="165"/>
      <c r="CL57" s="145"/>
    </row>
    <row r="58" spans="1:90" s="161" customFormat="1" ht="22.5">
      <c r="A58" s="176" t="s">
        <v>487</v>
      </c>
      <c r="B58" s="156">
        <f t="shared" si="5"/>
        <v>0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75"/>
      <c r="AS58" s="156">
        <f t="shared" si="2"/>
        <v>0</v>
      </c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87"/>
      <c r="CI58" s="175"/>
      <c r="CJ58" s="156" t="e">
        <f>+#REF!+CH58+CI58</f>
        <v>#REF!</v>
      </c>
      <c r="CK58" s="165"/>
      <c r="CL58" s="145"/>
    </row>
    <row r="59" spans="1:90" s="161" customFormat="1" ht="22.5">
      <c r="A59" s="176" t="s">
        <v>488</v>
      </c>
      <c r="B59" s="156">
        <f t="shared" si="5"/>
        <v>0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75"/>
      <c r="AS59" s="156">
        <f t="shared" si="2"/>
        <v>0</v>
      </c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87"/>
      <c r="CI59" s="175"/>
      <c r="CJ59" s="156" t="e">
        <f>+#REF!+CH59+CI59</f>
        <v>#REF!</v>
      </c>
      <c r="CK59" s="185"/>
      <c r="CL59" s="145"/>
    </row>
    <row r="60" spans="1:90" s="161" customFormat="1" ht="22.5">
      <c r="A60" s="176" t="s">
        <v>489</v>
      </c>
      <c r="B60" s="156">
        <f t="shared" si="5"/>
        <v>0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75"/>
      <c r="AS60" s="156">
        <f t="shared" si="2"/>
        <v>0</v>
      </c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87"/>
      <c r="CI60" s="175"/>
      <c r="CJ60" s="156" t="e">
        <f>+#REF!+CH60+CI60</f>
        <v>#REF!</v>
      </c>
      <c r="CK60" s="185"/>
      <c r="CL60" s="145"/>
    </row>
    <row r="61" spans="1:90" s="161" customFormat="1" ht="22.5">
      <c r="A61" s="176" t="s">
        <v>490</v>
      </c>
      <c r="B61" s="156">
        <f t="shared" si="5"/>
        <v>0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80"/>
      <c r="AS61" s="156">
        <f t="shared" si="2"/>
        <v>0</v>
      </c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87"/>
      <c r="CI61" s="180"/>
      <c r="CJ61" s="156" t="e">
        <f>+#REF!+CH61+CI61</f>
        <v>#REF!</v>
      </c>
      <c r="CK61" s="165"/>
      <c r="CL61" s="145"/>
    </row>
    <row r="62" spans="1:90" s="161" customFormat="1" ht="22.5">
      <c r="A62" s="176" t="s">
        <v>491</v>
      </c>
      <c r="B62" s="156">
        <f t="shared" si="5"/>
        <v>0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80"/>
      <c r="AS62" s="156">
        <f t="shared" si="2"/>
        <v>0</v>
      </c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87"/>
      <c r="CI62" s="180"/>
      <c r="CJ62" s="156" t="e">
        <f>+#REF!+CH62+CI62</f>
        <v>#REF!</v>
      </c>
      <c r="CK62" s="165"/>
      <c r="CL62" s="145"/>
    </row>
    <row r="63" spans="1:90" s="161" customFormat="1" ht="33.75">
      <c r="A63" s="176" t="s">
        <v>492</v>
      </c>
      <c r="B63" s="156">
        <f t="shared" si="5"/>
        <v>0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80"/>
      <c r="AS63" s="156">
        <f t="shared" si="2"/>
        <v>0</v>
      </c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87"/>
      <c r="CI63" s="180"/>
      <c r="CJ63" s="156" t="e">
        <f>+#REF!+CH63+CI63</f>
        <v>#REF!</v>
      </c>
      <c r="CK63" s="165"/>
      <c r="CL63" s="145"/>
    </row>
    <row r="64" spans="1:90" s="161" customFormat="1" ht="33.75">
      <c r="A64" s="176" t="s">
        <v>493</v>
      </c>
      <c r="B64" s="156">
        <f t="shared" si="5"/>
        <v>0</v>
      </c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75"/>
      <c r="AS64" s="156">
        <f t="shared" si="2"/>
        <v>0</v>
      </c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87"/>
      <c r="CI64" s="175"/>
      <c r="CJ64" s="156" t="e">
        <f>+#REF!+CH64+CI64</f>
        <v>#REF!</v>
      </c>
      <c r="CK64" s="165"/>
      <c r="CL64" s="145"/>
    </row>
    <row r="65" spans="1:90" s="161" customFormat="1" ht="33.75">
      <c r="A65" s="176" t="s">
        <v>494</v>
      </c>
      <c r="B65" s="156">
        <f t="shared" si="5"/>
        <v>0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75"/>
      <c r="AS65" s="156">
        <f t="shared" si="2"/>
        <v>0</v>
      </c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87"/>
      <c r="CI65" s="175"/>
      <c r="CJ65" s="156" t="e">
        <f>+#REF!+CH65+CI65</f>
        <v>#REF!</v>
      </c>
      <c r="CK65" s="185"/>
      <c r="CL65" s="145"/>
    </row>
    <row r="66" spans="1:90" s="161" customFormat="1" ht="24">
      <c r="A66" s="166" t="s">
        <v>495</v>
      </c>
      <c r="B66" s="156">
        <f t="shared" si="5"/>
        <v>0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69"/>
      <c r="AS66" s="156">
        <f t="shared" si="2"/>
        <v>0</v>
      </c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87"/>
      <c r="CI66" s="169"/>
      <c r="CJ66" s="156" t="e">
        <f>+#REF!+CH66+CI66</f>
        <v>#REF!</v>
      </c>
      <c r="CK66" s="165"/>
      <c r="CL66" s="145"/>
    </row>
    <row r="67" spans="1:90" s="161" customFormat="1" ht="24">
      <c r="A67" s="166" t="s">
        <v>496</v>
      </c>
      <c r="B67" s="156">
        <f t="shared" si="5"/>
        <v>0</v>
      </c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69"/>
      <c r="AS67" s="156">
        <f t="shared" si="2"/>
        <v>0</v>
      </c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87"/>
      <c r="CI67" s="169"/>
      <c r="CJ67" s="156" t="e">
        <f>+#REF!+CH67+CI67</f>
        <v>#REF!</v>
      </c>
      <c r="CK67" s="165"/>
      <c r="CL67" s="145"/>
    </row>
    <row r="68" spans="1:90" s="161" customFormat="1" ht="12">
      <c r="A68" s="166" t="s">
        <v>131</v>
      </c>
      <c r="B68" s="156">
        <f t="shared" si="5"/>
        <v>0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>
        <v>-257638.639</v>
      </c>
      <c r="AR68" s="169"/>
      <c r="AS68" s="156">
        <f t="shared" si="2"/>
        <v>-257638.639</v>
      </c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56">
        <v>-34796</v>
      </c>
      <c r="CI68" s="169"/>
      <c r="CJ68" s="156" t="e">
        <f>+#REF!+CH68+CI68</f>
        <v>#REF!</v>
      </c>
      <c r="CK68" s="165"/>
      <c r="CL68" s="145"/>
    </row>
    <row r="69" spans="1:100" ht="24">
      <c r="A69" s="188" t="s">
        <v>497</v>
      </c>
      <c r="B69" s="156">
        <f>B70+B88</f>
        <v>-8793.4</v>
      </c>
      <c r="C69" s="156">
        <f>C70+C88</f>
        <v>0</v>
      </c>
      <c r="D69" s="156">
        <f aca="true" t="shared" si="7" ref="D69:AP69">D70+D88</f>
        <v>0</v>
      </c>
      <c r="E69" s="156">
        <f t="shared" si="7"/>
        <v>0</v>
      </c>
      <c r="F69" s="156">
        <f t="shared" si="7"/>
        <v>0</v>
      </c>
      <c r="G69" s="156">
        <f t="shared" si="7"/>
        <v>-8793.4</v>
      </c>
      <c r="H69" s="156">
        <f t="shared" si="7"/>
        <v>0</v>
      </c>
      <c r="I69" s="156">
        <f t="shared" si="7"/>
        <v>0</v>
      </c>
      <c r="J69" s="156">
        <f t="shared" si="7"/>
        <v>0</v>
      </c>
      <c r="K69" s="156">
        <f t="shared" si="7"/>
        <v>0</v>
      </c>
      <c r="L69" s="156">
        <f t="shared" si="7"/>
        <v>0</v>
      </c>
      <c r="M69" s="156">
        <f t="shared" si="7"/>
        <v>0</v>
      </c>
      <c r="N69" s="156">
        <f t="shared" si="7"/>
        <v>0</v>
      </c>
      <c r="O69" s="156">
        <f t="shared" si="7"/>
        <v>0</v>
      </c>
      <c r="P69" s="156">
        <f t="shared" si="7"/>
        <v>0</v>
      </c>
      <c r="Q69" s="156">
        <f t="shared" si="7"/>
        <v>0</v>
      </c>
      <c r="R69" s="156">
        <f t="shared" si="7"/>
        <v>0</v>
      </c>
      <c r="S69" s="156">
        <f t="shared" si="7"/>
        <v>0</v>
      </c>
      <c r="T69" s="156">
        <f t="shared" si="7"/>
        <v>0</v>
      </c>
      <c r="U69" s="156">
        <f t="shared" si="7"/>
        <v>0</v>
      </c>
      <c r="V69" s="156">
        <f t="shared" si="7"/>
        <v>0</v>
      </c>
      <c r="W69" s="156">
        <f t="shared" si="7"/>
        <v>0</v>
      </c>
      <c r="X69" s="156">
        <f t="shared" si="7"/>
        <v>0</v>
      </c>
      <c r="Y69" s="156">
        <f t="shared" si="7"/>
        <v>0</v>
      </c>
      <c r="Z69" s="156">
        <f t="shared" si="7"/>
        <v>0</v>
      </c>
      <c r="AA69" s="156">
        <f t="shared" si="7"/>
        <v>0</v>
      </c>
      <c r="AB69" s="156">
        <f t="shared" si="7"/>
        <v>0</v>
      </c>
      <c r="AC69" s="156">
        <f t="shared" si="7"/>
        <v>0</v>
      </c>
      <c r="AD69" s="156">
        <f t="shared" si="7"/>
        <v>0</v>
      </c>
      <c r="AE69" s="156">
        <f t="shared" si="7"/>
        <v>0</v>
      </c>
      <c r="AF69" s="156">
        <f t="shared" si="7"/>
        <v>0</v>
      </c>
      <c r="AG69" s="156">
        <f t="shared" si="7"/>
        <v>0</v>
      </c>
      <c r="AH69" s="156">
        <f t="shared" si="7"/>
        <v>0</v>
      </c>
      <c r="AI69" s="156">
        <f t="shared" si="7"/>
        <v>0</v>
      </c>
      <c r="AJ69" s="156">
        <f t="shared" si="7"/>
        <v>0</v>
      </c>
      <c r="AK69" s="156">
        <f t="shared" si="7"/>
        <v>0</v>
      </c>
      <c r="AL69" s="156">
        <f t="shared" si="7"/>
        <v>0</v>
      </c>
      <c r="AM69" s="156">
        <f t="shared" si="7"/>
        <v>0</v>
      </c>
      <c r="AN69" s="156">
        <f t="shared" si="7"/>
        <v>0</v>
      </c>
      <c r="AO69" s="156">
        <f t="shared" si="7"/>
        <v>0</v>
      </c>
      <c r="AP69" s="156">
        <f t="shared" si="7"/>
        <v>0</v>
      </c>
      <c r="AQ69" s="156">
        <f>AQ70+AQ88</f>
        <v>-1651694.4810000001</v>
      </c>
      <c r="AR69" s="156">
        <f>AR70+AR88</f>
        <v>0</v>
      </c>
      <c r="AS69" s="156">
        <f>AS70+AS88</f>
        <v>-1660487.881</v>
      </c>
      <c r="AT69" s="156">
        <f>AT70+AT88</f>
        <v>0</v>
      </c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89">
        <f>CH70+CH88</f>
        <v>-119176</v>
      </c>
      <c r="CI69" s="156">
        <f>CI70+CI88</f>
        <v>0</v>
      </c>
      <c r="CJ69" s="156" t="e">
        <f>CJ70+CJ88</f>
        <v>#REF!</v>
      </c>
      <c r="CQ69" s="161"/>
      <c r="CV69" s="161"/>
    </row>
    <row r="70" spans="1:100" ht="24">
      <c r="A70" s="162" t="s">
        <v>498</v>
      </c>
      <c r="B70" s="156">
        <f>+SUM(B71:B87)</f>
        <v>0</v>
      </c>
      <c r="C70" s="156">
        <f>+SUM(C71:C87)</f>
        <v>0</v>
      </c>
      <c r="D70" s="156">
        <f aca="true" t="shared" si="8" ref="D70:AP70">+SUM(D71:D87)</f>
        <v>0</v>
      </c>
      <c r="E70" s="156">
        <f t="shared" si="8"/>
        <v>0</v>
      </c>
      <c r="F70" s="156">
        <f t="shared" si="8"/>
        <v>0</v>
      </c>
      <c r="G70" s="156">
        <f t="shared" si="8"/>
        <v>0</v>
      </c>
      <c r="H70" s="156">
        <f t="shared" si="8"/>
        <v>0</v>
      </c>
      <c r="I70" s="156">
        <f t="shared" si="8"/>
        <v>0</v>
      </c>
      <c r="J70" s="156">
        <f t="shared" si="8"/>
        <v>0</v>
      </c>
      <c r="K70" s="156">
        <f t="shared" si="8"/>
        <v>0</v>
      </c>
      <c r="L70" s="156">
        <f t="shared" si="8"/>
        <v>0</v>
      </c>
      <c r="M70" s="156">
        <f t="shared" si="8"/>
        <v>0</v>
      </c>
      <c r="N70" s="156">
        <f t="shared" si="8"/>
        <v>0</v>
      </c>
      <c r="O70" s="156">
        <f t="shared" si="8"/>
        <v>0</v>
      </c>
      <c r="P70" s="156">
        <f t="shared" si="8"/>
        <v>0</v>
      </c>
      <c r="Q70" s="156">
        <f t="shared" si="8"/>
        <v>0</v>
      </c>
      <c r="R70" s="156">
        <f t="shared" si="8"/>
        <v>0</v>
      </c>
      <c r="S70" s="156">
        <f t="shared" si="8"/>
        <v>0</v>
      </c>
      <c r="T70" s="156">
        <f t="shared" si="8"/>
        <v>0</v>
      </c>
      <c r="U70" s="156">
        <f t="shared" si="8"/>
        <v>0</v>
      </c>
      <c r="V70" s="156">
        <f t="shared" si="8"/>
        <v>0</v>
      </c>
      <c r="W70" s="156">
        <f t="shared" si="8"/>
        <v>0</v>
      </c>
      <c r="X70" s="156">
        <f t="shared" si="8"/>
        <v>0</v>
      </c>
      <c r="Y70" s="156">
        <f t="shared" si="8"/>
        <v>0</v>
      </c>
      <c r="Z70" s="156">
        <f t="shared" si="8"/>
        <v>0</v>
      </c>
      <c r="AA70" s="156">
        <f t="shared" si="8"/>
        <v>0</v>
      </c>
      <c r="AB70" s="156">
        <f t="shared" si="8"/>
        <v>0</v>
      </c>
      <c r="AC70" s="156">
        <f t="shared" si="8"/>
        <v>0</v>
      </c>
      <c r="AD70" s="156">
        <f t="shared" si="8"/>
        <v>0</v>
      </c>
      <c r="AE70" s="156">
        <f t="shared" si="8"/>
        <v>0</v>
      </c>
      <c r="AF70" s="156">
        <f t="shared" si="8"/>
        <v>0</v>
      </c>
      <c r="AG70" s="156">
        <f t="shared" si="8"/>
        <v>0</v>
      </c>
      <c r="AH70" s="156">
        <f t="shared" si="8"/>
        <v>0</v>
      </c>
      <c r="AI70" s="156">
        <f t="shared" si="8"/>
        <v>0</v>
      </c>
      <c r="AJ70" s="156">
        <f t="shared" si="8"/>
        <v>0</v>
      </c>
      <c r="AK70" s="156">
        <f t="shared" si="8"/>
        <v>0</v>
      </c>
      <c r="AL70" s="156">
        <f t="shared" si="8"/>
        <v>0</v>
      </c>
      <c r="AM70" s="156">
        <f t="shared" si="8"/>
        <v>0</v>
      </c>
      <c r="AN70" s="156">
        <f t="shared" si="8"/>
        <v>0</v>
      </c>
      <c r="AO70" s="156">
        <f t="shared" si="8"/>
        <v>0</v>
      </c>
      <c r="AP70" s="156">
        <f t="shared" si="8"/>
        <v>0</v>
      </c>
      <c r="AQ70" s="156">
        <f>+SUM(AQ71:AQ87)</f>
        <v>0</v>
      </c>
      <c r="AR70" s="156">
        <f>+SUM(AR71:AR87)</f>
        <v>0</v>
      </c>
      <c r="AS70" s="156">
        <f>+SUM(AS71:AS87)</f>
        <v>0</v>
      </c>
      <c r="AT70" s="156">
        <f>+SUM(AT71:AT87)</f>
        <v>0</v>
      </c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6"/>
      <c r="BW70" s="156"/>
      <c r="BX70" s="156"/>
      <c r="BY70" s="156"/>
      <c r="BZ70" s="156"/>
      <c r="CA70" s="156"/>
      <c r="CB70" s="156"/>
      <c r="CC70" s="156"/>
      <c r="CD70" s="156"/>
      <c r="CE70" s="156"/>
      <c r="CF70" s="156"/>
      <c r="CG70" s="156"/>
      <c r="CH70" s="156">
        <f>+SUM(CH71:CH87)</f>
        <v>0</v>
      </c>
      <c r="CI70" s="156">
        <f>+SUM(CI71:CI87)</f>
        <v>0</v>
      </c>
      <c r="CJ70" s="156" t="e">
        <f>+SUM(CJ71:CJ87)</f>
        <v>#REF!</v>
      </c>
      <c r="CQ70" s="161"/>
      <c r="CV70" s="161"/>
    </row>
    <row r="71" spans="1:100" ht="24">
      <c r="A71" s="166" t="s">
        <v>499</v>
      </c>
      <c r="B71" s="156">
        <f aca="true" t="shared" si="9" ref="B71:B87">SUM(C71:AP71)</f>
        <v>0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69"/>
      <c r="AS71" s="156">
        <f aca="true" t="shared" si="10" ref="AS71:AS87">+B71+AQ71+AR71</f>
        <v>0</v>
      </c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75"/>
      <c r="CI71" s="169"/>
      <c r="CJ71" s="156" t="e">
        <f>+#REF!+CH71+CI71</f>
        <v>#REF!</v>
      </c>
      <c r="CQ71" s="161"/>
      <c r="CV71" s="161"/>
    </row>
    <row r="72" spans="1:100" ht="24">
      <c r="A72" s="166" t="s">
        <v>500</v>
      </c>
      <c r="B72" s="156">
        <f t="shared" si="9"/>
        <v>0</v>
      </c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69"/>
      <c r="AS72" s="156">
        <f t="shared" si="10"/>
        <v>0</v>
      </c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156"/>
      <c r="BS72" s="156"/>
      <c r="BT72" s="156"/>
      <c r="BU72" s="156"/>
      <c r="BV72" s="156"/>
      <c r="BW72" s="156"/>
      <c r="BX72" s="156"/>
      <c r="BY72" s="156"/>
      <c r="BZ72" s="156"/>
      <c r="CA72" s="156"/>
      <c r="CB72" s="156"/>
      <c r="CC72" s="156"/>
      <c r="CD72" s="156"/>
      <c r="CE72" s="156"/>
      <c r="CF72" s="156"/>
      <c r="CG72" s="156"/>
      <c r="CH72" s="175"/>
      <c r="CI72" s="169"/>
      <c r="CJ72" s="156" t="e">
        <f>+#REF!+CH72+CI72</f>
        <v>#REF!</v>
      </c>
      <c r="CS72" s="144"/>
      <c r="CV72" s="144"/>
    </row>
    <row r="73" spans="1:100" ht="24">
      <c r="A73" s="166" t="s">
        <v>501</v>
      </c>
      <c r="B73" s="156">
        <f t="shared" si="9"/>
        <v>0</v>
      </c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6"/>
      <c r="AN73" s="156"/>
      <c r="AO73" s="156"/>
      <c r="AP73" s="156"/>
      <c r="AQ73" s="156"/>
      <c r="AR73" s="169"/>
      <c r="AS73" s="156">
        <f t="shared" si="10"/>
        <v>0</v>
      </c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75"/>
      <c r="CI73" s="169"/>
      <c r="CJ73" s="156" t="e">
        <f>+#REF!+CH73+CI73</f>
        <v>#REF!</v>
      </c>
      <c r="CQ73" s="170"/>
      <c r="CS73" s="144"/>
      <c r="CV73" s="144"/>
    </row>
    <row r="74" spans="1:100" ht="24">
      <c r="A74" s="166" t="s">
        <v>502</v>
      </c>
      <c r="B74" s="156">
        <f t="shared" si="9"/>
        <v>0</v>
      </c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75"/>
      <c r="AS74" s="156">
        <f t="shared" si="10"/>
        <v>0</v>
      </c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56" t="e">
        <f>+#REF!+CH74+CI74</f>
        <v>#REF!</v>
      </c>
      <c r="CQ74" s="144"/>
      <c r="CS74" s="144"/>
      <c r="CV74" s="144"/>
    </row>
    <row r="75" spans="1:100" ht="24">
      <c r="A75" s="166" t="s">
        <v>503</v>
      </c>
      <c r="B75" s="156">
        <f t="shared" si="9"/>
        <v>0</v>
      </c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156"/>
      <c r="AK75" s="156"/>
      <c r="AL75" s="156"/>
      <c r="AM75" s="156"/>
      <c r="AN75" s="156"/>
      <c r="AO75" s="156"/>
      <c r="AP75" s="156"/>
      <c r="AQ75" s="156"/>
      <c r="AR75" s="175"/>
      <c r="AS75" s="156">
        <f t="shared" si="10"/>
        <v>0</v>
      </c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56" t="e">
        <f>+#REF!+CH75+CI75</f>
        <v>#REF!</v>
      </c>
      <c r="CQ75" s="144"/>
      <c r="CS75" s="144"/>
      <c r="CV75" s="144"/>
    </row>
    <row r="76" spans="1:100" ht="24">
      <c r="A76" s="166" t="s">
        <v>504</v>
      </c>
      <c r="B76" s="156">
        <f t="shared" si="9"/>
        <v>0</v>
      </c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75"/>
      <c r="AS76" s="156">
        <f t="shared" si="10"/>
        <v>0</v>
      </c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56" t="e">
        <f>+#REF!+CH76+CI76</f>
        <v>#REF!</v>
      </c>
      <c r="CQ76" s="144"/>
      <c r="CS76" s="190"/>
      <c r="CV76" s="190"/>
    </row>
    <row r="77" spans="1:105" ht="36">
      <c r="A77" s="166" t="s">
        <v>505</v>
      </c>
      <c r="B77" s="156">
        <f t="shared" si="9"/>
        <v>0</v>
      </c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75"/>
      <c r="AS77" s="156">
        <f t="shared" si="10"/>
        <v>0</v>
      </c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56" t="e">
        <f>+#REF!+CH77+CI77</f>
        <v>#REF!</v>
      </c>
      <c r="CS77" s="144"/>
      <c r="CV77" s="190"/>
      <c r="DA77" s="191">
        <f>CV79+CV80+CV78</f>
        <v>0</v>
      </c>
    </row>
    <row r="78" spans="1:97" ht="24">
      <c r="A78" s="166" t="s">
        <v>506</v>
      </c>
      <c r="B78" s="156">
        <f t="shared" si="9"/>
        <v>0</v>
      </c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75"/>
      <c r="AS78" s="156">
        <f t="shared" si="10"/>
        <v>0</v>
      </c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56" t="e">
        <f>+#REF!+CH78+CI78</f>
        <v>#REF!</v>
      </c>
      <c r="CN78" s="192"/>
      <c r="CS78" s="144"/>
    </row>
    <row r="79" spans="1:105" ht="12">
      <c r="A79" s="166" t="s">
        <v>507</v>
      </c>
      <c r="B79" s="156">
        <f t="shared" si="9"/>
        <v>0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75"/>
      <c r="AS79" s="156">
        <f t="shared" si="10"/>
        <v>0</v>
      </c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56" t="e">
        <f>+#REF!+CH79+CI79</f>
        <v>#REF!</v>
      </c>
      <c r="CN79" s="192"/>
      <c r="CS79" s="144"/>
      <c r="CV79" s="190"/>
      <c r="DA79" s="191">
        <f>CV77+CV76+CV74</f>
        <v>0</v>
      </c>
    </row>
    <row r="80" spans="1:105" ht="24">
      <c r="A80" s="166" t="s">
        <v>508</v>
      </c>
      <c r="B80" s="156">
        <f t="shared" si="9"/>
        <v>0</v>
      </c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75"/>
      <c r="AS80" s="156">
        <f t="shared" si="10"/>
        <v>0</v>
      </c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56" t="e">
        <f>+#REF!+CH80+CI80</f>
        <v>#REF!</v>
      </c>
      <c r="CS80" s="190"/>
      <c r="CV80" s="190"/>
      <c r="DA80" s="191">
        <f>SUM(DA77:DA79)</f>
        <v>0</v>
      </c>
    </row>
    <row r="81" spans="1:95" ht="24">
      <c r="A81" s="166" t="s">
        <v>509</v>
      </c>
      <c r="B81" s="156">
        <f t="shared" si="9"/>
        <v>0</v>
      </c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75"/>
      <c r="AS81" s="156">
        <f t="shared" si="10"/>
        <v>0</v>
      </c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56" t="e">
        <f>+#REF!+CH81+CI81</f>
        <v>#REF!</v>
      </c>
      <c r="CQ81" s="193"/>
    </row>
    <row r="82" spans="1:100" ht="24">
      <c r="A82" s="166" t="s">
        <v>510</v>
      </c>
      <c r="B82" s="156">
        <f t="shared" si="9"/>
        <v>0</v>
      </c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156"/>
      <c r="AK82" s="156"/>
      <c r="AL82" s="156"/>
      <c r="AM82" s="156"/>
      <c r="AN82" s="156"/>
      <c r="AO82" s="156"/>
      <c r="AP82" s="156"/>
      <c r="AQ82" s="156"/>
      <c r="AR82" s="175"/>
      <c r="AS82" s="156">
        <f t="shared" si="10"/>
        <v>0</v>
      </c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56" t="e">
        <f>+#REF!+CH82+CI82</f>
        <v>#REF!</v>
      </c>
      <c r="CV82" s="190"/>
    </row>
    <row r="83" spans="1:100" ht="24">
      <c r="A83" s="166" t="s">
        <v>511</v>
      </c>
      <c r="B83" s="156">
        <f t="shared" si="9"/>
        <v>0</v>
      </c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75"/>
      <c r="AS83" s="156">
        <f t="shared" si="10"/>
        <v>0</v>
      </c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56" t="e">
        <f>+#REF!+CH83+CI83</f>
        <v>#REF!</v>
      </c>
      <c r="CV83" s="190"/>
    </row>
    <row r="84" spans="1:100" ht="24">
      <c r="A84" s="166" t="s">
        <v>512</v>
      </c>
      <c r="B84" s="156">
        <f t="shared" si="9"/>
        <v>0</v>
      </c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75"/>
      <c r="AS84" s="156">
        <f t="shared" si="10"/>
        <v>0</v>
      </c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56" t="e">
        <f>+#REF!+CH84+CI84</f>
        <v>#REF!</v>
      </c>
      <c r="CK84" s="185"/>
      <c r="CL84" s="165"/>
      <c r="CM84" s="161"/>
      <c r="CS84" s="191"/>
      <c r="CV84" s="190"/>
    </row>
    <row r="85" spans="1:100" ht="24">
      <c r="A85" s="166" t="s">
        <v>513</v>
      </c>
      <c r="B85" s="156">
        <f t="shared" si="9"/>
        <v>0</v>
      </c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56"/>
      <c r="AR85" s="175"/>
      <c r="AS85" s="156">
        <f t="shared" si="10"/>
        <v>0</v>
      </c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56" t="e">
        <f>+#REF!+CH85+CI85</f>
        <v>#REF!</v>
      </c>
      <c r="CK85" s="185"/>
      <c r="CL85" s="165"/>
      <c r="CM85" s="161"/>
      <c r="CS85" s="191"/>
      <c r="CV85" s="194"/>
    </row>
    <row r="86" spans="1:100" ht="36">
      <c r="A86" s="166" t="s">
        <v>514</v>
      </c>
      <c r="B86" s="156">
        <f t="shared" si="9"/>
        <v>0</v>
      </c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6"/>
      <c r="AN86" s="156"/>
      <c r="AO86" s="156"/>
      <c r="AP86" s="156"/>
      <c r="AQ86" s="156"/>
      <c r="AR86" s="175"/>
      <c r="AS86" s="156">
        <f t="shared" si="10"/>
        <v>0</v>
      </c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56" t="e">
        <f>+#REF!+CH86+CI86</f>
        <v>#REF!</v>
      </c>
      <c r="CS86" s="191"/>
      <c r="CV86" s="191"/>
    </row>
    <row r="87" spans="1:97" ht="12">
      <c r="A87" s="166" t="s">
        <v>515</v>
      </c>
      <c r="B87" s="156">
        <f t="shared" si="9"/>
        <v>0</v>
      </c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75"/>
      <c r="AS87" s="156">
        <f t="shared" si="10"/>
        <v>0</v>
      </c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56" t="e">
        <f>+#REF!+CH87+CI87</f>
        <v>#REF!</v>
      </c>
      <c r="CS87" s="191"/>
    </row>
    <row r="88" spans="1:88" ht="12">
      <c r="A88" s="162" t="s">
        <v>516</v>
      </c>
      <c r="B88" s="156">
        <f>+SUM(B89:B101)</f>
        <v>-8793.4</v>
      </c>
      <c r="C88" s="156">
        <f>+SUM(C89:C101)</f>
        <v>0</v>
      </c>
      <c r="D88" s="156">
        <f aca="true" t="shared" si="11" ref="D88:AP88">+SUM(D89:D101)</f>
        <v>0</v>
      </c>
      <c r="E88" s="156">
        <f t="shared" si="11"/>
        <v>0</v>
      </c>
      <c r="F88" s="156">
        <f t="shared" si="11"/>
        <v>0</v>
      </c>
      <c r="G88" s="156">
        <f t="shared" si="11"/>
        <v>-8793.4</v>
      </c>
      <c r="H88" s="156">
        <f t="shared" si="11"/>
        <v>0</v>
      </c>
      <c r="I88" s="156">
        <f t="shared" si="11"/>
        <v>0</v>
      </c>
      <c r="J88" s="156">
        <f t="shared" si="11"/>
        <v>0</v>
      </c>
      <c r="K88" s="156">
        <f t="shared" si="11"/>
        <v>0</v>
      </c>
      <c r="L88" s="156">
        <f t="shared" si="11"/>
        <v>0</v>
      </c>
      <c r="M88" s="156">
        <f t="shared" si="11"/>
        <v>0</v>
      </c>
      <c r="N88" s="156">
        <f t="shared" si="11"/>
        <v>0</v>
      </c>
      <c r="O88" s="156">
        <f t="shared" si="11"/>
        <v>0</v>
      </c>
      <c r="P88" s="156">
        <f t="shared" si="11"/>
        <v>0</v>
      </c>
      <c r="Q88" s="156">
        <f t="shared" si="11"/>
        <v>0</v>
      </c>
      <c r="R88" s="156">
        <f t="shared" si="11"/>
        <v>0</v>
      </c>
      <c r="S88" s="156">
        <f t="shared" si="11"/>
        <v>0</v>
      </c>
      <c r="T88" s="156">
        <f t="shared" si="11"/>
        <v>0</v>
      </c>
      <c r="U88" s="156">
        <f t="shared" si="11"/>
        <v>0</v>
      </c>
      <c r="V88" s="156">
        <f t="shared" si="11"/>
        <v>0</v>
      </c>
      <c r="W88" s="156">
        <f t="shared" si="11"/>
        <v>0</v>
      </c>
      <c r="X88" s="156">
        <f t="shared" si="11"/>
        <v>0</v>
      </c>
      <c r="Y88" s="156">
        <f t="shared" si="11"/>
        <v>0</v>
      </c>
      <c r="Z88" s="156">
        <f t="shared" si="11"/>
        <v>0</v>
      </c>
      <c r="AA88" s="156">
        <f t="shared" si="11"/>
        <v>0</v>
      </c>
      <c r="AB88" s="156">
        <f t="shared" si="11"/>
        <v>0</v>
      </c>
      <c r="AC88" s="156">
        <f t="shared" si="11"/>
        <v>0</v>
      </c>
      <c r="AD88" s="156">
        <f t="shared" si="11"/>
        <v>0</v>
      </c>
      <c r="AE88" s="156">
        <f t="shared" si="11"/>
        <v>0</v>
      </c>
      <c r="AF88" s="156">
        <f t="shared" si="11"/>
        <v>0</v>
      </c>
      <c r="AG88" s="156">
        <f t="shared" si="11"/>
        <v>0</v>
      </c>
      <c r="AH88" s="156">
        <f t="shared" si="11"/>
        <v>0</v>
      </c>
      <c r="AI88" s="156">
        <f t="shared" si="11"/>
        <v>0</v>
      </c>
      <c r="AJ88" s="156">
        <f t="shared" si="11"/>
        <v>0</v>
      </c>
      <c r="AK88" s="156">
        <f t="shared" si="11"/>
        <v>0</v>
      </c>
      <c r="AL88" s="156">
        <f t="shared" si="11"/>
        <v>0</v>
      </c>
      <c r="AM88" s="156">
        <f t="shared" si="11"/>
        <v>0</v>
      </c>
      <c r="AN88" s="156">
        <f t="shared" si="11"/>
        <v>0</v>
      </c>
      <c r="AO88" s="156">
        <f t="shared" si="11"/>
        <v>0</v>
      </c>
      <c r="AP88" s="156">
        <f t="shared" si="11"/>
        <v>0</v>
      </c>
      <c r="AQ88" s="157">
        <f>+SUM(AQ89:AQ101)</f>
        <v>-1651694.4810000001</v>
      </c>
      <c r="AR88" s="158">
        <f>+SUM(AR89:AR101)</f>
        <v>0</v>
      </c>
      <c r="AS88" s="157">
        <f>+SUM(AS89:AS101)</f>
        <v>-1660487.881</v>
      </c>
      <c r="AT88" s="158">
        <f>+SUM(AT89:AT101)</f>
        <v>0</v>
      </c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>
        <f>+SUM(CH89:CH101)</f>
        <v>-119176</v>
      </c>
      <c r="CI88" s="160">
        <f>+SUM(CI89:CI101)</f>
        <v>0</v>
      </c>
      <c r="CJ88" s="160" t="e">
        <f>+SUM(CJ89:CJ101)</f>
        <v>#REF!</v>
      </c>
    </row>
    <row r="89" spans="1:97" ht="12">
      <c r="A89" s="166" t="s">
        <v>517</v>
      </c>
      <c r="B89" s="156">
        <f aca="true" t="shared" si="12" ref="B89:B99">SUM(C89:AP89)</f>
        <v>-8793.4</v>
      </c>
      <c r="C89" s="156"/>
      <c r="D89" s="156"/>
      <c r="E89" s="156"/>
      <c r="F89" s="156"/>
      <c r="G89" s="156">
        <v>-8793.4</v>
      </c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156"/>
      <c r="AK89" s="156"/>
      <c r="AL89" s="156"/>
      <c r="AM89" s="156"/>
      <c r="AN89" s="156"/>
      <c r="AO89" s="156"/>
      <c r="AP89" s="156"/>
      <c r="AQ89" s="157">
        <v>-1584052.941</v>
      </c>
      <c r="AR89" s="168"/>
      <c r="AS89" s="157">
        <f aca="true" t="shared" si="13" ref="AS89:AS101">+B89+AQ89+AR89</f>
        <v>-1592846.341</v>
      </c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>
        <v>-114451</v>
      </c>
      <c r="CI89" s="169"/>
      <c r="CJ89" s="156" t="e">
        <f>+#REF!+CH89+CI89</f>
        <v>#REF!</v>
      </c>
      <c r="CS89" s="191"/>
    </row>
    <row r="90" spans="1:88" ht="24">
      <c r="A90" s="166" t="s">
        <v>518</v>
      </c>
      <c r="B90" s="156">
        <f t="shared" si="12"/>
        <v>0</v>
      </c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7">
        <v>-66507.672</v>
      </c>
      <c r="AR90" s="168"/>
      <c r="AS90" s="157">
        <f t="shared" si="13"/>
        <v>-66507.672</v>
      </c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>
        <v>-4725</v>
      </c>
      <c r="CI90" s="169"/>
      <c r="CJ90" s="156" t="e">
        <f>+#REF!+CH90+CI90</f>
        <v>#REF!</v>
      </c>
    </row>
    <row r="91" spans="1:88" ht="24">
      <c r="A91" s="166" t="s">
        <v>519</v>
      </c>
      <c r="B91" s="156">
        <f t="shared" si="12"/>
        <v>0</v>
      </c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7">
        <v>-1133.868</v>
      </c>
      <c r="AR91" s="168"/>
      <c r="AS91" s="157">
        <f t="shared" si="13"/>
        <v>-1133.868</v>
      </c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68"/>
      <c r="CI91" s="169"/>
      <c r="CJ91" s="156" t="e">
        <f>+#REF!+CH91+CI91</f>
        <v>#REF!</v>
      </c>
    </row>
    <row r="92" spans="1:88" ht="12">
      <c r="A92" s="166" t="s">
        <v>520</v>
      </c>
      <c r="B92" s="156">
        <f t="shared" si="12"/>
        <v>0</v>
      </c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75"/>
      <c r="AS92" s="156">
        <f t="shared" si="13"/>
        <v>0</v>
      </c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75"/>
      <c r="CI92" s="175"/>
      <c r="CJ92" s="156" t="e">
        <f>+#REF!+CH92+CI92</f>
        <v>#REF!</v>
      </c>
    </row>
    <row r="93" spans="1:88" ht="24">
      <c r="A93" s="166" t="s">
        <v>521</v>
      </c>
      <c r="B93" s="156">
        <f t="shared" si="12"/>
        <v>0</v>
      </c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75"/>
      <c r="AS93" s="156">
        <f t="shared" si="13"/>
        <v>0</v>
      </c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  <c r="BP93" s="156"/>
      <c r="BQ93" s="156"/>
      <c r="BR93" s="156"/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75"/>
      <c r="CI93" s="175"/>
      <c r="CJ93" s="156" t="e">
        <f>+#REF!+CH93+CI93</f>
        <v>#REF!</v>
      </c>
    </row>
    <row r="94" spans="1:88" ht="24">
      <c r="A94" s="166" t="s">
        <v>522</v>
      </c>
      <c r="B94" s="156">
        <f t="shared" si="12"/>
        <v>0</v>
      </c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75"/>
      <c r="AS94" s="156">
        <f t="shared" si="13"/>
        <v>0</v>
      </c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75"/>
      <c r="CI94" s="175"/>
      <c r="CJ94" s="156" t="e">
        <f>+#REF!+CH94+CI94</f>
        <v>#REF!</v>
      </c>
    </row>
    <row r="95" spans="1:88" ht="24">
      <c r="A95" s="166" t="s">
        <v>523</v>
      </c>
      <c r="B95" s="156">
        <f t="shared" si="12"/>
        <v>0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75"/>
      <c r="AS95" s="156">
        <f t="shared" si="13"/>
        <v>0</v>
      </c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75"/>
      <c r="CI95" s="175"/>
      <c r="CJ95" s="156" t="e">
        <f>+#REF!+CH95+CI95</f>
        <v>#REF!</v>
      </c>
    </row>
    <row r="96" spans="1:88" ht="24">
      <c r="A96" s="166" t="s">
        <v>524</v>
      </c>
      <c r="B96" s="156">
        <f t="shared" si="12"/>
        <v>0</v>
      </c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75"/>
      <c r="AS96" s="156">
        <f t="shared" si="13"/>
        <v>0</v>
      </c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75"/>
      <c r="CI96" s="175"/>
      <c r="CJ96" s="156" t="e">
        <f>+#REF!+CH96+CI96</f>
        <v>#REF!</v>
      </c>
    </row>
    <row r="97" spans="1:90" ht="12">
      <c r="A97" s="166" t="s">
        <v>525</v>
      </c>
      <c r="B97" s="156">
        <f t="shared" si="12"/>
        <v>0</v>
      </c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75"/>
      <c r="AS97" s="156">
        <f t="shared" si="13"/>
        <v>0</v>
      </c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75"/>
      <c r="CI97" s="175"/>
      <c r="CJ97" s="156" t="e">
        <f>+#REF!+CH97+CI97</f>
        <v>#REF!</v>
      </c>
      <c r="CK97" s="146"/>
      <c r="CL97" s="146"/>
    </row>
    <row r="98" spans="1:90" ht="24">
      <c r="A98" s="166" t="s">
        <v>526</v>
      </c>
      <c r="B98" s="156">
        <f t="shared" si="12"/>
        <v>0</v>
      </c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75"/>
      <c r="AS98" s="156">
        <f t="shared" si="13"/>
        <v>0</v>
      </c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75"/>
      <c r="CI98" s="175"/>
      <c r="CJ98" s="156" t="e">
        <f>+#REF!+CH98+CI98</f>
        <v>#REF!</v>
      </c>
      <c r="CK98" s="146"/>
      <c r="CL98" s="146"/>
    </row>
    <row r="99" spans="1:90" ht="24">
      <c r="A99" s="166" t="s">
        <v>527</v>
      </c>
      <c r="B99" s="156">
        <f t="shared" si="12"/>
        <v>0</v>
      </c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>
        <f t="shared" si="13"/>
        <v>0</v>
      </c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 t="e">
        <f>+#REF!+CH99+CI99</f>
        <v>#REF!</v>
      </c>
      <c r="CK99" s="146"/>
      <c r="CL99" s="146"/>
    </row>
    <row r="100" spans="1:90" ht="24">
      <c r="A100" s="166" t="s">
        <v>528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>
        <f t="shared" si="13"/>
        <v>0</v>
      </c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 t="e">
        <f>+#REF!+CH100+CI100</f>
        <v>#REF!</v>
      </c>
      <c r="CK100" s="146"/>
      <c r="CL100" s="146"/>
    </row>
    <row r="101" spans="1:90" ht="12">
      <c r="A101" s="166" t="s">
        <v>529</v>
      </c>
      <c r="B101" s="156">
        <f>SUM(C101:AP101)</f>
        <v>0</v>
      </c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>
        <f t="shared" si="13"/>
        <v>0</v>
      </c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 t="e">
        <f>+#REF!+CH101+CI101</f>
        <v>#REF!</v>
      </c>
      <c r="CK101" s="146"/>
      <c r="CL101" s="146"/>
    </row>
    <row r="102" spans="1:90" ht="24">
      <c r="A102" s="188" t="s">
        <v>530</v>
      </c>
      <c r="B102" s="156">
        <f>SUM(C102:K102)</f>
        <v>0</v>
      </c>
      <c r="C102" s="156">
        <f>C103+C125</f>
        <v>0</v>
      </c>
      <c r="D102" s="156"/>
      <c r="E102" s="156">
        <f aca="true" t="shared" si="14" ref="E102:AP102">E103+E125</f>
        <v>0</v>
      </c>
      <c r="F102" s="156"/>
      <c r="G102" s="156">
        <f t="shared" si="14"/>
        <v>0</v>
      </c>
      <c r="H102" s="156">
        <f t="shared" si="14"/>
        <v>0</v>
      </c>
      <c r="I102" s="156"/>
      <c r="J102" s="156">
        <f t="shared" si="14"/>
        <v>0</v>
      </c>
      <c r="K102" s="156">
        <f t="shared" si="14"/>
        <v>0</v>
      </c>
      <c r="L102" s="156">
        <f t="shared" si="14"/>
        <v>0</v>
      </c>
      <c r="M102" s="156">
        <f t="shared" si="14"/>
        <v>0</v>
      </c>
      <c r="N102" s="156">
        <f t="shared" si="14"/>
        <v>0</v>
      </c>
      <c r="O102" s="156">
        <f t="shared" si="14"/>
        <v>0</v>
      </c>
      <c r="P102" s="156">
        <f t="shared" si="14"/>
        <v>0</v>
      </c>
      <c r="Q102" s="156">
        <f t="shared" si="14"/>
        <v>0</v>
      </c>
      <c r="R102" s="156">
        <f t="shared" si="14"/>
        <v>0</v>
      </c>
      <c r="S102" s="156">
        <f t="shared" si="14"/>
        <v>0</v>
      </c>
      <c r="T102" s="156">
        <f t="shared" si="14"/>
        <v>0</v>
      </c>
      <c r="U102" s="156">
        <f t="shared" si="14"/>
        <v>0</v>
      </c>
      <c r="V102" s="156">
        <f t="shared" si="14"/>
        <v>0</v>
      </c>
      <c r="W102" s="156">
        <f t="shared" si="14"/>
        <v>0</v>
      </c>
      <c r="X102" s="156">
        <f t="shared" si="14"/>
        <v>0</v>
      </c>
      <c r="Y102" s="156">
        <f t="shared" si="14"/>
        <v>0</v>
      </c>
      <c r="Z102" s="156">
        <f t="shared" si="14"/>
        <v>0</v>
      </c>
      <c r="AA102" s="156">
        <f t="shared" si="14"/>
        <v>0</v>
      </c>
      <c r="AB102" s="156">
        <f t="shared" si="14"/>
        <v>0</v>
      </c>
      <c r="AC102" s="156">
        <f t="shared" si="14"/>
        <v>0</v>
      </c>
      <c r="AD102" s="156">
        <f t="shared" si="14"/>
        <v>0</v>
      </c>
      <c r="AE102" s="156">
        <f t="shared" si="14"/>
        <v>0</v>
      </c>
      <c r="AF102" s="156">
        <f t="shared" si="14"/>
        <v>0</v>
      </c>
      <c r="AG102" s="156">
        <f t="shared" si="14"/>
        <v>0</v>
      </c>
      <c r="AH102" s="156">
        <f t="shared" si="14"/>
        <v>0</v>
      </c>
      <c r="AI102" s="156">
        <f t="shared" si="14"/>
        <v>0</v>
      </c>
      <c r="AJ102" s="156">
        <f t="shared" si="14"/>
        <v>0</v>
      </c>
      <c r="AK102" s="156">
        <f t="shared" si="14"/>
        <v>0</v>
      </c>
      <c r="AL102" s="156">
        <f t="shared" si="14"/>
        <v>0</v>
      </c>
      <c r="AM102" s="156">
        <f t="shared" si="14"/>
        <v>0</v>
      </c>
      <c r="AN102" s="156">
        <f t="shared" si="14"/>
        <v>0</v>
      </c>
      <c r="AO102" s="156">
        <f t="shared" si="14"/>
        <v>0</v>
      </c>
      <c r="AP102" s="156">
        <f t="shared" si="14"/>
        <v>0</v>
      </c>
      <c r="AQ102" s="156"/>
      <c r="AR102" s="156">
        <f>AR103+AR125</f>
        <v>0</v>
      </c>
      <c r="AS102" s="156">
        <f>AS103+AS125</f>
        <v>-891634.33</v>
      </c>
      <c r="AT102" s="156">
        <f>AT103+AT125</f>
        <v>0</v>
      </c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>
        <f>CH103+CH125</f>
        <v>-597366.5</v>
      </c>
      <c r="CI102" s="156">
        <f>CI103+CI125</f>
        <v>0</v>
      </c>
      <c r="CJ102" s="156" t="e">
        <f>CJ103+CJ125</f>
        <v>#REF!</v>
      </c>
      <c r="CK102" s="146"/>
      <c r="CL102" s="146"/>
    </row>
    <row r="103" spans="1:90" ht="24">
      <c r="A103" s="162" t="s">
        <v>531</v>
      </c>
      <c r="B103" s="156">
        <f>B104+B110+B116+B117+B118+B119+B120+B121+B122+B123+B124</f>
        <v>0</v>
      </c>
      <c r="C103" s="156">
        <f aca="true" t="shared" si="15" ref="C103:AR103">C104+C110+C116+C117+C118+C119+C120+C121+C122+C123+C124</f>
        <v>0</v>
      </c>
      <c r="D103" s="156">
        <f t="shared" si="15"/>
        <v>0</v>
      </c>
      <c r="E103" s="156">
        <f t="shared" si="15"/>
        <v>0</v>
      </c>
      <c r="F103" s="156">
        <f t="shared" si="15"/>
        <v>0</v>
      </c>
      <c r="G103" s="156">
        <f t="shared" si="15"/>
        <v>0</v>
      </c>
      <c r="H103" s="156">
        <f t="shared" si="15"/>
        <v>0</v>
      </c>
      <c r="I103" s="156">
        <f t="shared" si="15"/>
        <v>0</v>
      </c>
      <c r="J103" s="156">
        <f t="shared" si="15"/>
        <v>0</v>
      </c>
      <c r="K103" s="156">
        <f t="shared" si="15"/>
        <v>0</v>
      </c>
      <c r="L103" s="156">
        <f t="shared" si="15"/>
        <v>0</v>
      </c>
      <c r="M103" s="156">
        <f t="shared" si="15"/>
        <v>0</v>
      </c>
      <c r="N103" s="156">
        <f t="shared" si="15"/>
        <v>0</v>
      </c>
      <c r="O103" s="156">
        <f t="shared" si="15"/>
        <v>0</v>
      </c>
      <c r="P103" s="156"/>
      <c r="Q103" s="156">
        <f t="shared" si="15"/>
        <v>0</v>
      </c>
      <c r="R103" s="156">
        <f t="shared" si="15"/>
        <v>0</v>
      </c>
      <c r="S103" s="156">
        <f t="shared" si="15"/>
        <v>0</v>
      </c>
      <c r="T103" s="156">
        <f t="shared" si="15"/>
        <v>0</v>
      </c>
      <c r="U103" s="156">
        <f t="shared" si="15"/>
        <v>0</v>
      </c>
      <c r="V103" s="156">
        <f t="shared" si="15"/>
        <v>0</v>
      </c>
      <c r="W103" s="156">
        <f t="shared" si="15"/>
        <v>0</v>
      </c>
      <c r="X103" s="156">
        <f t="shared" si="15"/>
        <v>0</v>
      </c>
      <c r="Y103" s="156">
        <f t="shared" si="15"/>
        <v>0</v>
      </c>
      <c r="Z103" s="156">
        <f t="shared" si="15"/>
        <v>0</v>
      </c>
      <c r="AA103" s="156">
        <f t="shared" si="15"/>
        <v>0</v>
      </c>
      <c r="AB103" s="156">
        <f t="shared" si="15"/>
        <v>0</v>
      </c>
      <c r="AC103" s="156">
        <f t="shared" si="15"/>
        <v>0</v>
      </c>
      <c r="AD103" s="156">
        <f t="shared" si="15"/>
        <v>0</v>
      </c>
      <c r="AE103" s="156">
        <f t="shared" si="15"/>
        <v>0</v>
      </c>
      <c r="AF103" s="156">
        <f t="shared" si="15"/>
        <v>0</v>
      </c>
      <c r="AG103" s="156">
        <f t="shared" si="15"/>
        <v>0</v>
      </c>
      <c r="AH103" s="156">
        <f t="shared" si="15"/>
        <v>0</v>
      </c>
      <c r="AI103" s="156">
        <f t="shared" si="15"/>
        <v>0</v>
      </c>
      <c r="AJ103" s="156">
        <f t="shared" si="15"/>
        <v>0</v>
      </c>
      <c r="AK103" s="156">
        <f t="shared" si="15"/>
        <v>0</v>
      </c>
      <c r="AL103" s="156">
        <f t="shared" si="15"/>
        <v>0</v>
      </c>
      <c r="AM103" s="156">
        <f t="shared" si="15"/>
        <v>0</v>
      </c>
      <c r="AN103" s="156">
        <f t="shared" si="15"/>
        <v>0</v>
      </c>
      <c r="AO103" s="156">
        <f t="shared" si="15"/>
        <v>0</v>
      </c>
      <c r="AP103" s="156">
        <f t="shared" si="15"/>
        <v>0</v>
      </c>
      <c r="AQ103" s="156">
        <f t="shared" si="15"/>
        <v>0</v>
      </c>
      <c r="AR103" s="156">
        <f t="shared" si="15"/>
        <v>0</v>
      </c>
      <c r="AS103" s="156">
        <f>AS104+AS110+AS116+AS117+AS118+AS119+AS120+AS121+AS122+AS123+AS124</f>
        <v>0</v>
      </c>
      <c r="AT103" s="156">
        <f>+SUM(AT104:AT124)</f>
        <v>0</v>
      </c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>
        <f>+SUM(CH104:CH124)</f>
        <v>0</v>
      </c>
      <c r="CI103" s="156">
        <f>+SUM(CI104:CI124)</f>
        <v>0</v>
      </c>
      <c r="CJ103" s="156" t="e">
        <f>+#REF!+CH103+CI103</f>
        <v>#REF!</v>
      </c>
      <c r="CK103" s="146"/>
      <c r="CL103" s="146"/>
    </row>
    <row r="104" spans="1:90" ht="24">
      <c r="A104" s="166" t="s">
        <v>532</v>
      </c>
      <c r="B104" s="156">
        <f>SUM(B105:B109)</f>
        <v>0</v>
      </c>
      <c r="C104" s="156">
        <f aca="true" t="shared" si="16" ref="C104:AR104">SUM(C105:C109)</f>
        <v>0</v>
      </c>
      <c r="D104" s="156">
        <f t="shared" si="16"/>
        <v>0</v>
      </c>
      <c r="E104" s="156">
        <f t="shared" si="16"/>
        <v>0</v>
      </c>
      <c r="F104" s="156">
        <f t="shared" si="16"/>
        <v>0</v>
      </c>
      <c r="G104" s="156">
        <f t="shared" si="16"/>
        <v>0</v>
      </c>
      <c r="H104" s="156">
        <f t="shared" si="16"/>
        <v>0</v>
      </c>
      <c r="I104" s="156">
        <f t="shared" si="16"/>
        <v>0</v>
      </c>
      <c r="J104" s="156">
        <f t="shared" si="16"/>
        <v>0</v>
      </c>
      <c r="K104" s="156">
        <f t="shared" si="16"/>
        <v>0</v>
      </c>
      <c r="L104" s="156">
        <f t="shared" si="16"/>
        <v>0</v>
      </c>
      <c r="M104" s="156">
        <f t="shared" si="16"/>
        <v>0</v>
      </c>
      <c r="N104" s="156">
        <f t="shared" si="16"/>
        <v>0</v>
      </c>
      <c r="O104" s="156">
        <f t="shared" si="16"/>
        <v>0</v>
      </c>
      <c r="P104" s="156">
        <f t="shared" si="16"/>
        <v>0</v>
      </c>
      <c r="Q104" s="156">
        <f t="shared" si="16"/>
        <v>0</v>
      </c>
      <c r="R104" s="156">
        <f t="shared" si="16"/>
        <v>0</v>
      </c>
      <c r="S104" s="156">
        <f t="shared" si="16"/>
        <v>0</v>
      </c>
      <c r="T104" s="156">
        <f t="shared" si="16"/>
        <v>0</v>
      </c>
      <c r="U104" s="156">
        <f t="shared" si="16"/>
        <v>0</v>
      </c>
      <c r="V104" s="156">
        <f t="shared" si="16"/>
        <v>0</v>
      </c>
      <c r="W104" s="156">
        <f t="shared" si="16"/>
        <v>0</v>
      </c>
      <c r="X104" s="156">
        <f t="shared" si="16"/>
        <v>0</v>
      </c>
      <c r="Y104" s="156">
        <f t="shared" si="16"/>
        <v>0</v>
      </c>
      <c r="Z104" s="156">
        <f t="shared" si="16"/>
        <v>0</v>
      </c>
      <c r="AA104" s="156">
        <f t="shared" si="16"/>
        <v>0</v>
      </c>
      <c r="AB104" s="156">
        <f t="shared" si="16"/>
        <v>0</v>
      </c>
      <c r="AC104" s="156">
        <f t="shared" si="16"/>
        <v>0</v>
      </c>
      <c r="AD104" s="156">
        <f t="shared" si="16"/>
        <v>0</v>
      </c>
      <c r="AE104" s="156">
        <f t="shared" si="16"/>
        <v>0</v>
      </c>
      <c r="AF104" s="156">
        <f t="shared" si="16"/>
        <v>0</v>
      </c>
      <c r="AG104" s="156">
        <f t="shared" si="16"/>
        <v>0</v>
      </c>
      <c r="AH104" s="156">
        <f t="shared" si="16"/>
        <v>0</v>
      </c>
      <c r="AI104" s="156">
        <f t="shared" si="16"/>
        <v>0</v>
      </c>
      <c r="AJ104" s="156">
        <f t="shared" si="16"/>
        <v>0</v>
      </c>
      <c r="AK104" s="156">
        <f t="shared" si="16"/>
        <v>0</v>
      </c>
      <c r="AL104" s="156">
        <f t="shared" si="16"/>
        <v>0</v>
      </c>
      <c r="AM104" s="156">
        <f t="shared" si="16"/>
        <v>0</v>
      </c>
      <c r="AN104" s="156">
        <f t="shared" si="16"/>
        <v>0</v>
      </c>
      <c r="AO104" s="156">
        <f t="shared" si="16"/>
        <v>0</v>
      </c>
      <c r="AP104" s="156">
        <f t="shared" si="16"/>
        <v>0</v>
      </c>
      <c r="AQ104" s="156">
        <f t="shared" si="16"/>
        <v>0</v>
      </c>
      <c r="AR104" s="156">
        <f t="shared" si="16"/>
        <v>0</v>
      </c>
      <c r="AS104" s="156">
        <f>AS105+AS106+AS107+AS108</f>
        <v>0</v>
      </c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 t="e">
        <f>+#REF!+CH104+CI104</f>
        <v>#REF!</v>
      </c>
      <c r="CK104" s="146"/>
      <c r="CL104" s="146"/>
    </row>
    <row r="105" spans="1:90" ht="24">
      <c r="A105" s="195" t="s">
        <v>533</v>
      </c>
      <c r="B105" s="156">
        <f>SUM(C105:AP105)</f>
        <v>0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>
        <f>+B105+AQ105+AR105</f>
        <v>0</v>
      </c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 t="e">
        <f>+#REF!+CH105+CI105</f>
        <v>#REF!</v>
      </c>
      <c r="CK105" s="146"/>
      <c r="CL105" s="146"/>
    </row>
    <row r="106" spans="1:90" ht="36">
      <c r="A106" s="195" t="s">
        <v>534</v>
      </c>
      <c r="B106" s="156">
        <f>SUM(C106:AP106)</f>
        <v>0</v>
      </c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>
        <f>+B106+AQ106+AR106</f>
        <v>0</v>
      </c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 t="e">
        <f>+#REF!+CH106+CI106</f>
        <v>#REF!</v>
      </c>
      <c r="CK106" s="146"/>
      <c r="CL106" s="146"/>
    </row>
    <row r="107" spans="1:90" ht="24">
      <c r="A107" s="195" t="s">
        <v>535</v>
      </c>
      <c r="B107" s="156">
        <f>SUM(C107:AP107)</f>
        <v>0</v>
      </c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>
        <f>+B107+AQ107+AR107</f>
        <v>0</v>
      </c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  <c r="BJ107" s="156"/>
      <c r="BK107" s="156"/>
      <c r="BL107" s="156"/>
      <c r="BM107" s="156"/>
      <c r="BN107" s="156"/>
      <c r="BO107" s="156"/>
      <c r="BP107" s="156"/>
      <c r="BQ107" s="156"/>
      <c r="BR107" s="156"/>
      <c r="BS107" s="156"/>
      <c r="BT107" s="156"/>
      <c r="BU107" s="156"/>
      <c r="BV107" s="156"/>
      <c r="BW107" s="156"/>
      <c r="BX107" s="156"/>
      <c r="BY107" s="156"/>
      <c r="BZ107" s="156"/>
      <c r="CA107" s="156"/>
      <c r="CB107" s="156"/>
      <c r="CC107" s="156"/>
      <c r="CD107" s="156"/>
      <c r="CE107" s="156"/>
      <c r="CF107" s="156"/>
      <c r="CG107" s="156"/>
      <c r="CH107" s="156"/>
      <c r="CI107" s="156"/>
      <c r="CJ107" s="156" t="e">
        <f>+#REF!+CH107+CI107</f>
        <v>#REF!</v>
      </c>
      <c r="CK107" s="146"/>
      <c r="CL107" s="146"/>
    </row>
    <row r="108" spans="1:90" ht="36">
      <c r="A108" s="195" t="s">
        <v>536</v>
      </c>
      <c r="B108" s="156">
        <f>SUM(C108:AP108)</f>
        <v>0</v>
      </c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>
        <f>+B108+AQ108+AR108</f>
        <v>0</v>
      </c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  <c r="BJ108" s="156"/>
      <c r="BK108" s="156"/>
      <c r="BL108" s="156"/>
      <c r="BM108" s="156"/>
      <c r="BN108" s="156"/>
      <c r="BO108" s="156"/>
      <c r="BP108" s="156"/>
      <c r="BQ108" s="156"/>
      <c r="BR108" s="156"/>
      <c r="BS108" s="156"/>
      <c r="BT108" s="156"/>
      <c r="BU108" s="156"/>
      <c r="BV108" s="156"/>
      <c r="BW108" s="156"/>
      <c r="BX108" s="156"/>
      <c r="BY108" s="156"/>
      <c r="BZ108" s="156"/>
      <c r="CA108" s="156"/>
      <c r="CB108" s="156"/>
      <c r="CC108" s="156"/>
      <c r="CD108" s="156"/>
      <c r="CE108" s="156"/>
      <c r="CF108" s="156"/>
      <c r="CG108" s="156"/>
      <c r="CH108" s="156"/>
      <c r="CI108" s="156"/>
      <c r="CJ108" s="156" t="e">
        <f>+#REF!+CH108+CI108</f>
        <v>#REF!</v>
      </c>
      <c r="CK108" s="146"/>
      <c r="CL108" s="146"/>
    </row>
    <row r="109" spans="1:90" ht="24">
      <c r="A109" s="195" t="s">
        <v>537</v>
      </c>
      <c r="B109" s="156">
        <f>SUM(C109:AP109)</f>
        <v>0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>
        <f>+B109+AQ109+AR109</f>
        <v>0</v>
      </c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6"/>
      <c r="BR109" s="156"/>
      <c r="BS109" s="156"/>
      <c r="BT109" s="156"/>
      <c r="BU109" s="156"/>
      <c r="BV109" s="156"/>
      <c r="BW109" s="156"/>
      <c r="BX109" s="156"/>
      <c r="BY109" s="156"/>
      <c r="BZ109" s="156"/>
      <c r="CA109" s="156"/>
      <c r="CB109" s="156"/>
      <c r="CC109" s="156"/>
      <c r="CD109" s="156"/>
      <c r="CE109" s="156"/>
      <c r="CF109" s="156"/>
      <c r="CG109" s="156"/>
      <c r="CH109" s="156"/>
      <c r="CI109" s="156"/>
      <c r="CJ109" s="156" t="e">
        <f>+#REF!+CH109+CI109</f>
        <v>#REF!</v>
      </c>
      <c r="CK109" s="146"/>
      <c r="CL109" s="146"/>
    </row>
    <row r="110" spans="1:90" ht="24">
      <c r="A110" s="166" t="s">
        <v>538</v>
      </c>
      <c r="B110" s="156">
        <f>B111+B112+B113+B114+B115</f>
        <v>0</v>
      </c>
      <c r="C110" s="156">
        <f aca="true" t="shared" si="17" ref="C110:AS110">C111+C112+C113+C114+C115</f>
        <v>0</v>
      </c>
      <c r="D110" s="156">
        <f t="shared" si="17"/>
        <v>0</v>
      </c>
      <c r="E110" s="156">
        <f t="shared" si="17"/>
        <v>0</v>
      </c>
      <c r="F110" s="156">
        <f t="shared" si="17"/>
        <v>0</v>
      </c>
      <c r="G110" s="156">
        <f t="shared" si="17"/>
        <v>0</v>
      </c>
      <c r="H110" s="156">
        <f t="shared" si="17"/>
        <v>0</v>
      </c>
      <c r="I110" s="156">
        <f t="shared" si="17"/>
        <v>0</v>
      </c>
      <c r="J110" s="156">
        <f t="shared" si="17"/>
        <v>0</v>
      </c>
      <c r="K110" s="156">
        <f t="shared" si="17"/>
        <v>0</v>
      </c>
      <c r="L110" s="156">
        <f t="shared" si="17"/>
        <v>0</v>
      </c>
      <c r="M110" s="156">
        <f t="shared" si="17"/>
        <v>0</v>
      </c>
      <c r="N110" s="156">
        <f t="shared" si="17"/>
        <v>0</v>
      </c>
      <c r="O110" s="156">
        <f t="shared" si="17"/>
        <v>0</v>
      </c>
      <c r="P110" s="156">
        <f t="shared" si="17"/>
        <v>0</v>
      </c>
      <c r="Q110" s="156">
        <f t="shared" si="17"/>
        <v>0</v>
      </c>
      <c r="R110" s="156">
        <f t="shared" si="17"/>
        <v>0</v>
      </c>
      <c r="S110" s="156">
        <f t="shared" si="17"/>
        <v>0</v>
      </c>
      <c r="T110" s="156">
        <f t="shared" si="17"/>
        <v>0</v>
      </c>
      <c r="U110" s="156">
        <f t="shared" si="17"/>
        <v>0</v>
      </c>
      <c r="V110" s="156">
        <f t="shared" si="17"/>
        <v>0</v>
      </c>
      <c r="W110" s="156">
        <f t="shared" si="17"/>
        <v>0</v>
      </c>
      <c r="X110" s="156">
        <f t="shared" si="17"/>
        <v>0</v>
      </c>
      <c r="Y110" s="156">
        <f t="shared" si="17"/>
        <v>0</v>
      </c>
      <c r="Z110" s="156">
        <f t="shared" si="17"/>
        <v>0</v>
      </c>
      <c r="AA110" s="156">
        <f t="shared" si="17"/>
        <v>0</v>
      </c>
      <c r="AB110" s="156">
        <f t="shared" si="17"/>
        <v>0</v>
      </c>
      <c r="AC110" s="156">
        <f t="shared" si="17"/>
        <v>0</v>
      </c>
      <c r="AD110" s="156">
        <f t="shared" si="17"/>
        <v>0</v>
      </c>
      <c r="AE110" s="156">
        <f t="shared" si="17"/>
        <v>0</v>
      </c>
      <c r="AF110" s="156">
        <f t="shared" si="17"/>
        <v>0</v>
      </c>
      <c r="AG110" s="156">
        <f t="shared" si="17"/>
        <v>0</v>
      </c>
      <c r="AH110" s="156">
        <f t="shared" si="17"/>
        <v>0</v>
      </c>
      <c r="AI110" s="156">
        <f t="shared" si="17"/>
        <v>0</v>
      </c>
      <c r="AJ110" s="156">
        <f t="shared" si="17"/>
        <v>0</v>
      </c>
      <c r="AK110" s="156">
        <f t="shared" si="17"/>
        <v>0</v>
      </c>
      <c r="AL110" s="156">
        <f t="shared" si="17"/>
        <v>0</v>
      </c>
      <c r="AM110" s="156">
        <f t="shared" si="17"/>
        <v>0</v>
      </c>
      <c r="AN110" s="156">
        <f t="shared" si="17"/>
        <v>0</v>
      </c>
      <c r="AO110" s="156">
        <f t="shared" si="17"/>
        <v>0</v>
      </c>
      <c r="AP110" s="156">
        <f t="shared" si="17"/>
        <v>0</v>
      </c>
      <c r="AQ110" s="156">
        <f t="shared" si="17"/>
        <v>0</v>
      </c>
      <c r="AR110" s="156">
        <f t="shared" si="17"/>
        <v>0</v>
      </c>
      <c r="AS110" s="156">
        <f t="shared" si="17"/>
        <v>0</v>
      </c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  <c r="BJ110" s="156"/>
      <c r="BK110" s="156"/>
      <c r="BL110" s="156"/>
      <c r="BM110" s="156"/>
      <c r="BN110" s="156"/>
      <c r="BO110" s="156"/>
      <c r="BP110" s="156"/>
      <c r="BQ110" s="156"/>
      <c r="BR110" s="156"/>
      <c r="BS110" s="156"/>
      <c r="BT110" s="156"/>
      <c r="BU110" s="156"/>
      <c r="BV110" s="156"/>
      <c r="BW110" s="156"/>
      <c r="BX110" s="156"/>
      <c r="BY110" s="156"/>
      <c r="BZ110" s="156"/>
      <c r="CA110" s="156"/>
      <c r="CB110" s="156"/>
      <c r="CC110" s="156"/>
      <c r="CD110" s="156"/>
      <c r="CE110" s="156"/>
      <c r="CF110" s="156"/>
      <c r="CG110" s="156"/>
      <c r="CH110" s="156"/>
      <c r="CI110" s="156"/>
      <c r="CJ110" s="156" t="e">
        <f>+#REF!+CH110+CI110</f>
        <v>#REF!</v>
      </c>
      <c r="CK110" s="146"/>
      <c r="CL110" s="146"/>
    </row>
    <row r="111" spans="1:90" ht="24">
      <c r="A111" s="195" t="s">
        <v>533</v>
      </c>
      <c r="B111" s="156">
        <f aca="true" t="shared" si="18" ref="B111:B124">SUM(C111:AP111)</f>
        <v>0</v>
      </c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>
        <f aca="true" t="shared" si="19" ref="AS111:AS124">+B111+AQ111+AR111</f>
        <v>0</v>
      </c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  <c r="BJ111" s="156"/>
      <c r="BK111" s="156"/>
      <c r="BL111" s="156"/>
      <c r="BM111" s="156"/>
      <c r="BN111" s="156"/>
      <c r="BO111" s="156"/>
      <c r="BP111" s="156"/>
      <c r="BQ111" s="156"/>
      <c r="BR111" s="156"/>
      <c r="BS111" s="156"/>
      <c r="BT111" s="156"/>
      <c r="BU111" s="156"/>
      <c r="BV111" s="156"/>
      <c r="BW111" s="156"/>
      <c r="BX111" s="156"/>
      <c r="BY111" s="156"/>
      <c r="BZ111" s="156"/>
      <c r="CA111" s="156"/>
      <c r="CB111" s="156"/>
      <c r="CC111" s="156"/>
      <c r="CD111" s="156"/>
      <c r="CE111" s="156"/>
      <c r="CF111" s="156"/>
      <c r="CG111" s="156"/>
      <c r="CH111" s="156"/>
      <c r="CI111" s="156"/>
      <c r="CJ111" s="156" t="e">
        <f>+#REF!+CH111+CI111</f>
        <v>#REF!</v>
      </c>
      <c r="CK111" s="146"/>
      <c r="CL111" s="146"/>
    </row>
    <row r="112" spans="1:90" ht="36">
      <c r="A112" s="195" t="s">
        <v>534</v>
      </c>
      <c r="B112" s="156">
        <f t="shared" si="18"/>
        <v>0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>
        <f t="shared" si="19"/>
        <v>0</v>
      </c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 t="e">
        <f>+#REF!+CH112+CI112</f>
        <v>#REF!</v>
      </c>
      <c r="CK112" s="146"/>
      <c r="CL112" s="146"/>
    </row>
    <row r="113" spans="1:90" ht="24">
      <c r="A113" s="195" t="s">
        <v>535</v>
      </c>
      <c r="B113" s="156">
        <f t="shared" si="18"/>
        <v>0</v>
      </c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>
        <f t="shared" si="19"/>
        <v>0</v>
      </c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 t="e">
        <f>+#REF!+CH113+CI113</f>
        <v>#REF!</v>
      </c>
      <c r="CK113" s="146"/>
      <c r="CL113" s="146"/>
    </row>
    <row r="114" spans="1:90" ht="36">
      <c r="A114" s="195" t="s">
        <v>536</v>
      </c>
      <c r="B114" s="156">
        <f t="shared" si="18"/>
        <v>0</v>
      </c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>
        <f t="shared" si="19"/>
        <v>0</v>
      </c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 t="e">
        <f>+#REF!+CH114+CI114</f>
        <v>#REF!</v>
      </c>
      <c r="CK114" s="146"/>
      <c r="CL114" s="146"/>
    </row>
    <row r="115" spans="1:90" ht="24">
      <c r="A115" s="195" t="s">
        <v>537</v>
      </c>
      <c r="B115" s="156">
        <f t="shared" si="18"/>
        <v>0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>
        <f t="shared" si="19"/>
        <v>0</v>
      </c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 t="e">
        <f>+#REF!+CH115+CI115</f>
        <v>#REF!</v>
      </c>
      <c r="CK115" s="146"/>
      <c r="CL115" s="146"/>
    </row>
    <row r="116" spans="1:90" ht="24">
      <c r="A116" s="166" t="s">
        <v>539</v>
      </c>
      <c r="B116" s="156">
        <f t="shared" si="18"/>
        <v>0</v>
      </c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>
        <f t="shared" si="19"/>
        <v>0</v>
      </c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 t="e">
        <f>+#REF!+CH116+CI116</f>
        <v>#REF!</v>
      </c>
      <c r="CK116" s="146"/>
      <c r="CL116" s="146"/>
    </row>
    <row r="117" spans="1:90" ht="24">
      <c r="A117" s="166" t="s">
        <v>540</v>
      </c>
      <c r="B117" s="156">
        <f t="shared" si="18"/>
        <v>0</v>
      </c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>
        <f t="shared" si="19"/>
        <v>0</v>
      </c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 t="e">
        <f>+#REF!+CH117+CI117</f>
        <v>#REF!</v>
      </c>
      <c r="CK117" s="146"/>
      <c r="CL117" s="146"/>
    </row>
    <row r="118" spans="1:90" ht="24">
      <c r="A118" s="166" t="s">
        <v>461</v>
      </c>
      <c r="B118" s="156">
        <f t="shared" si="18"/>
        <v>0</v>
      </c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>
        <f t="shared" si="19"/>
        <v>0</v>
      </c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 t="e">
        <f>+#REF!+CH118+CI118</f>
        <v>#REF!</v>
      </c>
      <c r="CK118" s="146"/>
      <c r="CL118" s="146"/>
    </row>
    <row r="119" spans="1:90" ht="24">
      <c r="A119" s="166" t="s">
        <v>462</v>
      </c>
      <c r="B119" s="156">
        <f t="shared" si="18"/>
        <v>0</v>
      </c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80"/>
      <c r="AS119" s="156">
        <f t="shared" si="19"/>
        <v>0</v>
      </c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80"/>
      <c r="CJ119" s="156" t="e">
        <f>+#REF!+CH119+CI119</f>
        <v>#REF!</v>
      </c>
      <c r="CK119" s="146"/>
      <c r="CL119" s="146"/>
    </row>
    <row r="120" spans="1:90" ht="24">
      <c r="A120" s="166" t="s">
        <v>463</v>
      </c>
      <c r="B120" s="156">
        <f t="shared" si="18"/>
        <v>0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80"/>
      <c r="AS120" s="156">
        <f t="shared" si="19"/>
        <v>0</v>
      </c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6"/>
      <c r="BR120" s="156"/>
      <c r="BS120" s="156"/>
      <c r="BT120" s="156"/>
      <c r="BU120" s="156"/>
      <c r="BV120" s="156"/>
      <c r="BW120" s="156"/>
      <c r="BX120" s="156"/>
      <c r="BY120" s="156"/>
      <c r="BZ120" s="156"/>
      <c r="CA120" s="156"/>
      <c r="CB120" s="156"/>
      <c r="CC120" s="156"/>
      <c r="CD120" s="156"/>
      <c r="CE120" s="156"/>
      <c r="CF120" s="156"/>
      <c r="CG120" s="156"/>
      <c r="CH120" s="156"/>
      <c r="CI120" s="180"/>
      <c r="CJ120" s="156" t="e">
        <f>+#REF!+CH120+CI120</f>
        <v>#REF!</v>
      </c>
      <c r="CK120" s="146"/>
      <c r="CL120" s="146"/>
    </row>
    <row r="121" spans="1:90" ht="39.75" customHeight="1">
      <c r="A121" s="166" t="s">
        <v>464</v>
      </c>
      <c r="B121" s="156">
        <f t="shared" si="18"/>
        <v>0</v>
      </c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80"/>
      <c r="AS121" s="156">
        <f t="shared" si="19"/>
        <v>0</v>
      </c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80"/>
      <c r="CJ121" s="156" t="e">
        <f>+#REF!+CH121+CI121</f>
        <v>#REF!</v>
      </c>
      <c r="CK121" s="146"/>
      <c r="CL121" s="146"/>
    </row>
    <row r="122" spans="1:90" ht="47.25" customHeight="1">
      <c r="A122" s="166" t="s">
        <v>465</v>
      </c>
      <c r="B122" s="156">
        <f t="shared" si="18"/>
        <v>0</v>
      </c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>
        <f t="shared" si="19"/>
        <v>0</v>
      </c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 t="e">
        <f>+#REF!+CH122+CI122</f>
        <v>#REF!</v>
      </c>
      <c r="CK122" s="146"/>
      <c r="CL122" s="146"/>
    </row>
    <row r="123" spans="1:90" ht="32.25" customHeight="1">
      <c r="A123" s="166" t="s">
        <v>541</v>
      </c>
      <c r="B123" s="156">
        <f t="shared" si="18"/>
        <v>0</v>
      </c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>
        <f t="shared" si="19"/>
        <v>0</v>
      </c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 t="e">
        <f>+#REF!+CH123+CI123</f>
        <v>#REF!</v>
      </c>
      <c r="CK123" s="146"/>
      <c r="CL123" s="146"/>
    </row>
    <row r="124" spans="1:90" ht="20.25" customHeight="1">
      <c r="A124" s="166" t="s">
        <v>542</v>
      </c>
      <c r="B124" s="157">
        <f t="shared" si="18"/>
        <v>0</v>
      </c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>
        <f t="shared" si="19"/>
        <v>0</v>
      </c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 t="e">
        <f>+#REF!+CH124+CI124</f>
        <v>#REF!</v>
      </c>
      <c r="CK124" s="146"/>
      <c r="CL124" s="146"/>
    </row>
    <row r="125" spans="1:90" ht="30.75" customHeight="1">
      <c r="A125" s="162" t="s">
        <v>543</v>
      </c>
      <c r="B125" s="156">
        <f>+SUM(B126:B135)+B138+B141</f>
        <v>-1364.058</v>
      </c>
      <c r="C125" s="156">
        <f aca="true" t="shared" si="20" ref="C125:AR125">+SUM(C126:C135)+C138+C141</f>
        <v>0</v>
      </c>
      <c r="D125" s="156">
        <f t="shared" si="20"/>
        <v>-1309.651</v>
      </c>
      <c r="E125" s="156">
        <f t="shared" si="20"/>
        <v>0</v>
      </c>
      <c r="F125" s="156">
        <f t="shared" si="20"/>
        <v>-41.687</v>
      </c>
      <c r="G125" s="156">
        <f t="shared" si="20"/>
        <v>0</v>
      </c>
      <c r="H125" s="156">
        <f t="shared" si="20"/>
        <v>0</v>
      </c>
      <c r="I125" s="156">
        <f t="shared" si="20"/>
        <v>-12.72</v>
      </c>
      <c r="J125" s="156">
        <f t="shared" si="20"/>
        <v>0</v>
      </c>
      <c r="K125" s="156">
        <f t="shared" si="20"/>
        <v>0</v>
      </c>
      <c r="L125" s="156">
        <f t="shared" si="20"/>
        <v>0</v>
      </c>
      <c r="M125" s="156">
        <f t="shared" si="20"/>
        <v>0</v>
      </c>
      <c r="N125" s="156">
        <f t="shared" si="20"/>
        <v>0</v>
      </c>
      <c r="O125" s="156">
        <f t="shared" si="20"/>
        <v>0</v>
      </c>
      <c r="P125" s="156">
        <f t="shared" si="20"/>
        <v>0</v>
      </c>
      <c r="Q125" s="156">
        <f t="shared" si="20"/>
        <v>0</v>
      </c>
      <c r="R125" s="156">
        <f t="shared" si="20"/>
        <v>0</v>
      </c>
      <c r="S125" s="156">
        <f t="shared" si="20"/>
        <v>0</v>
      </c>
      <c r="T125" s="156">
        <f t="shared" si="20"/>
        <v>0</v>
      </c>
      <c r="U125" s="156">
        <f t="shared" si="20"/>
        <v>0</v>
      </c>
      <c r="V125" s="156">
        <f t="shared" si="20"/>
        <v>0</v>
      </c>
      <c r="W125" s="156">
        <f t="shared" si="20"/>
        <v>0</v>
      </c>
      <c r="X125" s="156">
        <f t="shared" si="20"/>
        <v>0</v>
      </c>
      <c r="Y125" s="156">
        <f t="shared" si="20"/>
        <v>0</v>
      </c>
      <c r="Z125" s="156">
        <f t="shared" si="20"/>
        <v>0</v>
      </c>
      <c r="AA125" s="156">
        <f t="shared" si="20"/>
        <v>0</v>
      </c>
      <c r="AB125" s="156">
        <f t="shared" si="20"/>
        <v>0</v>
      </c>
      <c r="AC125" s="156">
        <f t="shared" si="20"/>
        <v>0</v>
      </c>
      <c r="AD125" s="156">
        <f t="shared" si="20"/>
        <v>0</v>
      </c>
      <c r="AE125" s="156">
        <f t="shared" si="20"/>
        <v>0</v>
      </c>
      <c r="AF125" s="156">
        <f t="shared" si="20"/>
        <v>0</v>
      </c>
      <c r="AG125" s="156">
        <f t="shared" si="20"/>
        <v>0</v>
      </c>
      <c r="AH125" s="156">
        <f t="shared" si="20"/>
        <v>0</v>
      </c>
      <c r="AI125" s="156">
        <f t="shared" si="20"/>
        <v>0</v>
      </c>
      <c r="AJ125" s="156">
        <f t="shared" si="20"/>
        <v>0</v>
      </c>
      <c r="AK125" s="156">
        <f t="shared" si="20"/>
        <v>0</v>
      </c>
      <c r="AL125" s="156">
        <f t="shared" si="20"/>
        <v>0</v>
      </c>
      <c r="AM125" s="156">
        <f t="shared" si="20"/>
        <v>0</v>
      </c>
      <c r="AN125" s="156">
        <f t="shared" si="20"/>
        <v>0</v>
      </c>
      <c r="AO125" s="156">
        <f t="shared" si="20"/>
        <v>0</v>
      </c>
      <c r="AP125" s="156">
        <f t="shared" si="20"/>
        <v>0</v>
      </c>
      <c r="AQ125" s="156">
        <f>+SUM(AQ126:AQ135)+AQ138+AQ141</f>
        <v>-890270.272</v>
      </c>
      <c r="AR125" s="156">
        <f t="shared" si="20"/>
        <v>0</v>
      </c>
      <c r="AS125" s="156">
        <f>AS126+AS127+AS128+AS129+AS130+AS131+AS132+AS133+AS134+AS135+AS138+AS141</f>
        <v>-891634.33</v>
      </c>
      <c r="AT125" s="156">
        <f>+SUM(AT126:AT141)</f>
        <v>0</v>
      </c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  <c r="BJ125" s="156"/>
      <c r="BK125" s="156"/>
      <c r="BL125" s="156"/>
      <c r="BM125" s="156"/>
      <c r="BN125" s="156"/>
      <c r="BO125" s="156"/>
      <c r="BP125" s="156"/>
      <c r="BQ125" s="156"/>
      <c r="BR125" s="156"/>
      <c r="BS125" s="156"/>
      <c r="BT125" s="156"/>
      <c r="BU125" s="156"/>
      <c r="BV125" s="156"/>
      <c r="BW125" s="156"/>
      <c r="BX125" s="156"/>
      <c r="BY125" s="156"/>
      <c r="BZ125" s="156"/>
      <c r="CA125" s="156"/>
      <c r="CB125" s="156"/>
      <c r="CC125" s="156"/>
      <c r="CD125" s="156"/>
      <c r="CE125" s="156"/>
      <c r="CF125" s="156"/>
      <c r="CG125" s="156"/>
      <c r="CH125" s="156">
        <f>+SUM(CH126:CH135)+CH138+CH141</f>
        <v>-597366.5</v>
      </c>
      <c r="CI125" s="156">
        <f>+SUM(CI126:CI141)</f>
        <v>0</v>
      </c>
      <c r="CJ125" s="156" t="e">
        <f>+SUM(CJ126:CJ135)+CJ138+CJ141</f>
        <v>#REF!</v>
      </c>
      <c r="CK125" s="146"/>
      <c r="CL125" s="146"/>
    </row>
    <row r="126" spans="1:90" ht="25.5" customHeight="1">
      <c r="A126" s="166" t="s">
        <v>544</v>
      </c>
      <c r="B126" s="156">
        <f>SUM(C126:AP126)</f>
        <v>0</v>
      </c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>
        <f aca="true" t="shared" si="21" ref="AS126:AS134">+B126+AQ126+AR126</f>
        <v>0</v>
      </c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  <c r="BJ126" s="156"/>
      <c r="BK126" s="156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 t="e">
        <f>+#REF!+CH126+CI126</f>
        <v>#REF!</v>
      </c>
      <c r="CK126" s="146"/>
      <c r="CL126" s="146"/>
    </row>
    <row r="127" spans="1:90" ht="45.75" customHeight="1">
      <c r="A127" s="166" t="s">
        <v>488</v>
      </c>
      <c r="B127" s="156">
        <f>SUM(C127:AP127)</f>
        <v>0</v>
      </c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7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 t="e">
        <f>+#REF!+CH127+CI127</f>
        <v>#REF!</v>
      </c>
      <c r="CK127" s="146"/>
      <c r="CL127" s="146"/>
    </row>
    <row r="128" spans="1:90" ht="39" customHeight="1">
      <c r="A128" s="166" t="s">
        <v>489</v>
      </c>
      <c r="B128" s="156">
        <f>SUM(C128:AP128)</f>
        <v>0</v>
      </c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>
        <f t="shared" si="21"/>
        <v>0</v>
      </c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  <c r="BJ128" s="156"/>
      <c r="BK128" s="156"/>
      <c r="BL128" s="156"/>
      <c r="BM128" s="156"/>
      <c r="BN128" s="156"/>
      <c r="BO128" s="156"/>
      <c r="BP128" s="156"/>
      <c r="BQ128" s="156"/>
      <c r="BR128" s="156"/>
      <c r="BS128" s="156"/>
      <c r="BT128" s="156"/>
      <c r="BU128" s="156"/>
      <c r="BV128" s="156"/>
      <c r="BW128" s="156"/>
      <c r="BX128" s="156"/>
      <c r="BY128" s="156"/>
      <c r="BZ128" s="156"/>
      <c r="CA128" s="156"/>
      <c r="CB128" s="156"/>
      <c r="CC128" s="156"/>
      <c r="CD128" s="156"/>
      <c r="CE128" s="156"/>
      <c r="CF128" s="156"/>
      <c r="CG128" s="156"/>
      <c r="CH128" s="156"/>
      <c r="CI128" s="156"/>
      <c r="CJ128" s="156" t="e">
        <f>+#REF!+CH128+CI128</f>
        <v>#REF!</v>
      </c>
      <c r="CK128" s="146"/>
      <c r="CL128" s="146"/>
    </row>
    <row r="129" spans="1:90" ht="48" customHeight="1">
      <c r="A129" s="166" t="s">
        <v>494</v>
      </c>
      <c r="B129" s="156">
        <f aca="true" t="shared" si="22" ref="B129:B134">SUM(C129:AP129)</f>
        <v>0</v>
      </c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>
        <v>-789920</v>
      </c>
      <c r="AR129" s="157"/>
      <c r="AS129" s="157">
        <f t="shared" si="21"/>
        <v>-789920</v>
      </c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  <c r="BJ129" s="156"/>
      <c r="BK129" s="156"/>
      <c r="BL129" s="156"/>
      <c r="BM129" s="156"/>
      <c r="BN129" s="156"/>
      <c r="BO129" s="156"/>
      <c r="BP129" s="156"/>
      <c r="BQ129" s="156"/>
      <c r="BR129" s="156"/>
      <c r="BS129" s="156"/>
      <c r="BT129" s="156"/>
      <c r="BU129" s="156"/>
      <c r="BV129" s="156"/>
      <c r="BW129" s="156"/>
      <c r="BX129" s="156"/>
      <c r="BY129" s="156"/>
      <c r="BZ129" s="156"/>
      <c r="CA129" s="156"/>
      <c r="CB129" s="156"/>
      <c r="CC129" s="156"/>
      <c r="CD129" s="156"/>
      <c r="CE129" s="156"/>
      <c r="CF129" s="156"/>
      <c r="CG129" s="156"/>
      <c r="CH129" s="156">
        <v>-500000</v>
      </c>
      <c r="CI129" s="156"/>
      <c r="CJ129" s="156" t="e">
        <f>+#REF!+CH129+CI129</f>
        <v>#REF!</v>
      </c>
      <c r="CK129" s="146"/>
      <c r="CL129" s="146"/>
    </row>
    <row r="130" spans="1:90" ht="32.25" customHeight="1">
      <c r="A130" s="166" t="s">
        <v>545</v>
      </c>
      <c r="B130" s="156">
        <f t="shared" si="22"/>
        <v>0</v>
      </c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>
        <f t="shared" si="21"/>
        <v>0</v>
      </c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  <c r="BJ130" s="156"/>
      <c r="BK130" s="156"/>
      <c r="BL130" s="156"/>
      <c r="BM130" s="156"/>
      <c r="BN130" s="156"/>
      <c r="BO130" s="156"/>
      <c r="BP130" s="156"/>
      <c r="BQ130" s="156"/>
      <c r="BR130" s="156"/>
      <c r="BS130" s="156"/>
      <c r="BT130" s="156"/>
      <c r="BU130" s="156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 t="e">
        <f>+#REF!+CH130+CI130</f>
        <v>#REF!</v>
      </c>
      <c r="CK130" s="146"/>
      <c r="CL130" s="146"/>
    </row>
    <row r="131" spans="1:90" ht="47.25" customHeight="1">
      <c r="A131" s="166" t="s">
        <v>490</v>
      </c>
      <c r="B131" s="156">
        <f t="shared" si="22"/>
        <v>0</v>
      </c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80"/>
      <c r="AS131" s="156">
        <f t="shared" si="21"/>
        <v>0</v>
      </c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6"/>
      <c r="BR131" s="156"/>
      <c r="BS131" s="156"/>
      <c r="BT131" s="156"/>
      <c r="BU131" s="156"/>
      <c r="BV131" s="156"/>
      <c r="BW131" s="156"/>
      <c r="BX131" s="156"/>
      <c r="BY131" s="156"/>
      <c r="BZ131" s="156"/>
      <c r="CA131" s="156"/>
      <c r="CB131" s="156"/>
      <c r="CC131" s="156"/>
      <c r="CD131" s="156"/>
      <c r="CE131" s="156"/>
      <c r="CF131" s="156"/>
      <c r="CG131" s="156"/>
      <c r="CH131" s="156"/>
      <c r="CI131" s="180"/>
      <c r="CJ131" s="156" t="e">
        <f>+#REF!+CH131+CI131</f>
        <v>#REF!</v>
      </c>
      <c r="CK131" s="146"/>
      <c r="CL131" s="146"/>
    </row>
    <row r="132" spans="1:90" ht="45" customHeight="1">
      <c r="A132" s="166" t="s">
        <v>491</v>
      </c>
      <c r="B132" s="156">
        <f t="shared" si="22"/>
        <v>0</v>
      </c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80"/>
      <c r="AS132" s="156">
        <f t="shared" si="21"/>
        <v>0</v>
      </c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  <c r="BJ132" s="156"/>
      <c r="BK132" s="156"/>
      <c r="BL132" s="156"/>
      <c r="BM132" s="156"/>
      <c r="BN132" s="156"/>
      <c r="BO132" s="156"/>
      <c r="BP132" s="156"/>
      <c r="BQ132" s="156"/>
      <c r="BR132" s="156"/>
      <c r="BS132" s="156"/>
      <c r="BT132" s="156"/>
      <c r="BU132" s="156"/>
      <c r="BV132" s="156"/>
      <c r="BW132" s="156"/>
      <c r="BX132" s="156"/>
      <c r="BY132" s="156"/>
      <c r="BZ132" s="156"/>
      <c r="CA132" s="156"/>
      <c r="CB132" s="156"/>
      <c r="CC132" s="156"/>
      <c r="CD132" s="156"/>
      <c r="CE132" s="156"/>
      <c r="CF132" s="156"/>
      <c r="CG132" s="156"/>
      <c r="CH132" s="156"/>
      <c r="CI132" s="180"/>
      <c r="CJ132" s="156" t="e">
        <f>+#REF!+CH132+CI132</f>
        <v>#REF!</v>
      </c>
      <c r="CK132" s="146"/>
      <c r="CL132" s="146"/>
    </row>
    <row r="133" spans="1:90" ht="49.5" customHeight="1">
      <c r="A133" s="166" t="s">
        <v>492</v>
      </c>
      <c r="B133" s="156">
        <f t="shared" si="22"/>
        <v>0</v>
      </c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80"/>
      <c r="AS133" s="156">
        <f t="shared" si="21"/>
        <v>0</v>
      </c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  <c r="BJ133" s="156"/>
      <c r="BK133" s="156"/>
      <c r="BL133" s="156"/>
      <c r="BM133" s="156"/>
      <c r="BN133" s="156"/>
      <c r="BO133" s="156"/>
      <c r="BP133" s="156"/>
      <c r="BQ133" s="156"/>
      <c r="BR133" s="156"/>
      <c r="BS133" s="156"/>
      <c r="BT133" s="156"/>
      <c r="BU133" s="156"/>
      <c r="BV133" s="156"/>
      <c r="BW133" s="156"/>
      <c r="BX133" s="156"/>
      <c r="BY133" s="156"/>
      <c r="BZ133" s="156"/>
      <c r="CA133" s="156"/>
      <c r="CB133" s="156"/>
      <c r="CC133" s="156"/>
      <c r="CD133" s="156"/>
      <c r="CE133" s="156"/>
      <c r="CF133" s="156"/>
      <c r="CG133" s="156"/>
      <c r="CH133" s="156"/>
      <c r="CI133" s="180"/>
      <c r="CJ133" s="156" t="e">
        <f>+#REF!+CH133+CI133</f>
        <v>#REF!</v>
      </c>
      <c r="CK133" s="146"/>
      <c r="CL133" s="146"/>
    </row>
    <row r="134" spans="1:90" ht="57" customHeight="1">
      <c r="A134" s="166" t="s">
        <v>493</v>
      </c>
      <c r="B134" s="156">
        <f t="shared" si="22"/>
        <v>0</v>
      </c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>
        <f t="shared" si="21"/>
        <v>0</v>
      </c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  <c r="BJ134" s="156"/>
      <c r="BK134" s="156"/>
      <c r="BL134" s="156"/>
      <c r="BM134" s="156"/>
      <c r="BN134" s="156"/>
      <c r="BO134" s="156"/>
      <c r="BP134" s="156"/>
      <c r="BQ134" s="156"/>
      <c r="BR134" s="156"/>
      <c r="BS134" s="156"/>
      <c r="BT134" s="156"/>
      <c r="BU134" s="156"/>
      <c r="BV134" s="156"/>
      <c r="BW134" s="156"/>
      <c r="BX134" s="156"/>
      <c r="BY134" s="156"/>
      <c r="BZ134" s="156"/>
      <c r="CA134" s="156"/>
      <c r="CB134" s="156"/>
      <c r="CC134" s="156"/>
      <c r="CD134" s="156"/>
      <c r="CE134" s="156"/>
      <c r="CF134" s="156"/>
      <c r="CG134" s="156"/>
      <c r="CH134" s="156"/>
      <c r="CI134" s="156"/>
      <c r="CJ134" s="156" t="e">
        <f>+#REF!+CH134+CI134</f>
        <v>#REF!</v>
      </c>
      <c r="CK134" s="146"/>
      <c r="CL134" s="146"/>
    </row>
    <row r="135" spans="1:90" ht="27.75" customHeight="1">
      <c r="A135" s="166" t="s">
        <v>546</v>
      </c>
      <c r="B135" s="156">
        <f>B136+B137</f>
        <v>0</v>
      </c>
      <c r="C135" s="156">
        <f aca="true" t="shared" si="23" ref="C135:Z135">C136+C137</f>
        <v>0</v>
      </c>
      <c r="D135" s="156">
        <f t="shared" si="23"/>
        <v>0</v>
      </c>
      <c r="E135" s="156">
        <f t="shared" si="23"/>
        <v>0</v>
      </c>
      <c r="F135" s="156">
        <f t="shared" si="23"/>
        <v>0</v>
      </c>
      <c r="G135" s="156">
        <f t="shared" si="23"/>
        <v>0</v>
      </c>
      <c r="H135" s="156">
        <f t="shared" si="23"/>
        <v>0</v>
      </c>
      <c r="I135" s="156">
        <f t="shared" si="23"/>
        <v>0</v>
      </c>
      <c r="J135" s="156">
        <f t="shared" si="23"/>
        <v>0</v>
      </c>
      <c r="K135" s="156">
        <f t="shared" si="23"/>
        <v>0</v>
      </c>
      <c r="L135" s="156">
        <f t="shared" si="23"/>
        <v>0</v>
      </c>
      <c r="M135" s="156">
        <f t="shared" si="23"/>
        <v>0</v>
      </c>
      <c r="N135" s="156">
        <f t="shared" si="23"/>
        <v>0</v>
      </c>
      <c r="O135" s="156">
        <f t="shared" si="23"/>
        <v>0</v>
      </c>
      <c r="P135" s="156">
        <f t="shared" si="23"/>
        <v>0</v>
      </c>
      <c r="Q135" s="156">
        <f t="shared" si="23"/>
        <v>0</v>
      </c>
      <c r="R135" s="156">
        <f t="shared" si="23"/>
        <v>0</v>
      </c>
      <c r="S135" s="156">
        <f t="shared" si="23"/>
        <v>0</v>
      </c>
      <c r="T135" s="156">
        <f t="shared" si="23"/>
        <v>0</v>
      </c>
      <c r="U135" s="156">
        <f t="shared" si="23"/>
        <v>0</v>
      </c>
      <c r="V135" s="156">
        <f t="shared" si="23"/>
        <v>0</v>
      </c>
      <c r="W135" s="156">
        <f t="shared" si="23"/>
        <v>0</v>
      </c>
      <c r="X135" s="156">
        <f t="shared" si="23"/>
        <v>0</v>
      </c>
      <c r="Y135" s="156">
        <f t="shared" si="23"/>
        <v>0</v>
      </c>
      <c r="Z135" s="156">
        <f t="shared" si="23"/>
        <v>0</v>
      </c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>
        <f>AQ136+AQ137</f>
        <v>-4474.558</v>
      </c>
      <c r="AR135" s="156">
        <f>AR136+AR137</f>
        <v>0</v>
      </c>
      <c r="AS135" s="156">
        <f>AS136+AS137</f>
        <v>-4474.558</v>
      </c>
      <c r="AT135" s="156">
        <f>AT136+AT137</f>
        <v>0</v>
      </c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  <c r="BJ135" s="156"/>
      <c r="BK135" s="156"/>
      <c r="BL135" s="156"/>
      <c r="BM135" s="156"/>
      <c r="BN135" s="156"/>
      <c r="BO135" s="156"/>
      <c r="BP135" s="156"/>
      <c r="BQ135" s="156"/>
      <c r="BR135" s="156"/>
      <c r="BS135" s="156"/>
      <c r="BT135" s="156"/>
      <c r="BU135" s="156"/>
      <c r="BV135" s="156"/>
      <c r="BW135" s="156"/>
      <c r="BX135" s="156"/>
      <c r="BY135" s="156"/>
      <c r="BZ135" s="156"/>
      <c r="CA135" s="156"/>
      <c r="CB135" s="156"/>
      <c r="CC135" s="156"/>
      <c r="CD135" s="156"/>
      <c r="CE135" s="156"/>
      <c r="CF135" s="156"/>
      <c r="CG135" s="156"/>
      <c r="CH135" s="156">
        <f>CH137</f>
        <v>-150</v>
      </c>
      <c r="CI135" s="156">
        <f>CI136+CI137</f>
        <v>0</v>
      </c>
      <c r="CJ135" s="196">
        <f>+AY135+CH135+CI135</f>
        <v>-150</v>
      </c>
      <c r="CK135" s="146"/>
      <c r="CL135" s="146"/>
    </row>
    <row r="136" spans="1:90" ht="43.5" customHeight="1">
      <c r="A136" s="166" t="s">
        <v>547</v>
      </c>
      <c r="B136" s="156">
        <f>SUM(C136:AP136)</f>
        <v>0</v>
      </c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69"/>
      <c r="AS136" s="156">
        <f aca="true" t="shared" si="24" ref="AS136:AS141">+B136+AQ136+AR136</f>
        <v>0</v>
      </c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69"/>
      <c r="CJ136" s="156" t="e">
        <f>+#REF!+CH136+CI136</f>
        <v>#REF!</v>
      </c>
      <c r="CK136" s="146"/>
      <c r="CL136" s="146"/>
    </row>
    <row r="137" spans="1:90" ht="36.75" customHeight="1">
      <c r="A137" s="166" t="s">
        <v>548</v>
      </c>
      <c r="B137" s="156">
        <f>SUM(C137:AP137)</f>
        <v>0</v>
      </c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63">
        <f>-(4474.558)</f>
        <v>-4474.558</v>
      </c>
      <c r="AR137" s="156"/>
      <c r="AS137" s="157">
        <f t="shared" si="24"/>
        <v>-4474.558</v>
      </c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  <c r="BJ137" s="156"/>
      <c r="BK137" s="156"/>
      <c r="BL137" s="156"/>
      <c r="BM137" s="156"/>
      <c r="BN137" s="156"/>
      <c r="BO137" s="156"/>
      <c r="BP137" s="156"/>
      <c r="BQ137" s="156"/>
      <c r="BR137" s="156"/>
      <c r="BS137" s="156"/>
      <c r="BT137" s="156"/>
      <c r="BU137" s="156"/>
      <c r="BV137" s="156"/>
      <c r="BW137" s="156"/>
      <c r="BX137" s="156"/>
      <c r="BY137" s="156"/>
      <c r="BZ137" s="156"/>
      <c r="CA137" s="156"/>
      <c r="CB137" s="156"/>
      <c r="CC137" s="156"/>
      <c r="CD137" s="156"/>
      <c r="CE137" s="156"/>
      <c r="CF137" s="156"/>
      <c r="CG137" s="156"/>
      <c r="CH137" s="156">
        <v>-150</v>
      </c>
      <c r="CI137" s="156"/>
      <c r="CJ137" s="156" t="e">
        <f>+#REF!+CH137+CI137</f>
        <v>#REF!</v>
      </c>
      <c r="CK137" s="146"/>
      <c r="CL137" s="146"/>
    </row>
    <row r="138" spans="1:90" ht="33" customHeight="1">
      <c r="A138" s="166" t="s">
        <v>549</v>
      </c>
      <c r="B138" s="156">
        <f>B139+B140</f>
        <v>0</v>
      </c>
      <c r="C138" s="156">
        <f aca="true" t="shared" si="25" ref="C138:AR138">C139+C140</f>
        <v>0</v>
      </c>
      <c r="D138" s="156">
        <f t="shared" si="25"/>
        <v>0</v>
      </c>
      <c r="E138" s="156">
        <f t="shared" si="25"/>
        <v>0</v>
      </c>
      <c r="F138" s="156">
        <f t="shared" si="25"/>
        <v>0</v>
      </c>
      <c r="G138" s="156">
        <f t="shared" si="25"/>
        <v>0</v>
      </c>
      <c r="H138" s="156">
        <f t="shared" si="25"/>
        <v>0</v>
      </c>
      <c r="I138" s="156">
        <f t="shared" si="25"/>
        <v>0</v>
      </c>
      <c r="J138" s="156">
        <f t="shared" si="25"/>
        <v>0</v>
      </c>
      <c r="K138" s="156">
        <f t="shared" si="25"/>
        <v>0</v>
      </c>
      <c r="L138" s="156">
        <f t="shared" si="25"/>
        <v>0</v>
      </c>
      <c r="M138" s="156">
        <f t="shared" si="25"/>
        <v>0</v>
      </c>
      <c r="N138" s="156">
        <f t="shared" si="25"/>
        <v>0</v>
      </c>
      <c r="O138" s="156">
        <f t="shared" si="25"/>
        <v>0</v>
      </c>
      <c r="P138" s="156">
        <f t="shared" si="25"/>
        <v>0</v>
      </c>
      <c r="Q138" s="156">
        <f t="shared" si="25"/>
        <v>0</v>
      </c>
      <c r="R138" s="156">
        <f t="shared" si="25"/>
        <v>0</v>
      </c>
      <c r="S138" s="156">
        <f t="shared" si="25"/>
        <v>0</v>
      </c>
      <c r="T138" s="156">
        <f t="shared" si="25"/>
        <v>0</v>
      </c>
      <c r="U138" s="156">
        <f t="shared" si="25"/>
        <v>0</v>
      </c>
      <c r="V138" s="156">
        <f t="shared" si="25"/>
        <v>0</v>
      </c>
      <c r="W138" s="156">
        <f t="shared" si="25"/>
        <v>0</v>
      </c>
      <c r="X138" s="156">
        <f t="shared" si="25"/>
        <v>0</v>
      </c>
      <c r="Y138" s="156">
        <f t="shared" si="25"/>
        <v>0</v>
      </c>
      <c r="Z138" s="156">
        <f t="shared" si="25"/>
        <v>0</v>
      </c>
      <c r="AA138" s="156">
        <f t="shared" si="25"/>
        <v>0</v>
      </c>
      <c r="AB138" s="156">
        <f t="shared" si="25"/>
        <v>0</v>
      </c>
      <c r="AC138" s="156">
        <f t="shared" si="25"/>
        <v>0</v>
      </c>
      <c r="AD138" s="156">
        <f t="shared" si="25"/>
        <v>0</v>
      </c>
      <c r="AE138" s="156">
        <f t="shared" si="25"/>
        <v>0</v>
      </c>
      <c r="AF138" s="156">
        <f t="shared" si="25"/>
        <v>0</v>
      </c>
      <c r="AG138" s="156">
        <f t="shared" si="25"/>
        <v>0</v>
      </c>
      <c r="AH138" s="156">
        <f t="shared" si="25"/>
        <v>0</v>
      </c>
      <c r="AI138" s="156">
        <f t="shared" si="25"/>
        <v>0</v>
      </c>
      <c r="AJ138" s="156">
        <f t="shared" si="25"/>
        <v>0</v>
      </c>
      <c r="AK138" s="156">
        <f t="shared" si="25"/>
        <v>0</v>
      </c>
      <c r="AL138" s="156">
        <f t="shared" si="25"/>
        <v>0</v>
      </c>
      <c r="AM138" s="156">
        <f t="shared" si="25"/>
        <v>0</v>
      </c>
      <c r="AN138" s="156">
        <f t="shared" si="25"/>
        <v>0</v>
      </c>
      <c r="AO138" s="156">
        <f t="shared" si="25"/>
        <v>0</v>
      </c>
      <c r="AP138" s="156">
        <f t="shared" si="25"/>
        <v>0</v>
      </c>
      <c r="AQ138" s="156">
        <f t="shared" si="25"/>
        <v>0</v>
      </c>
      <c r="AR138" s="156">
        <f t="shared" si="25"/>
        <v>0</v>
      </c>
      <c r="AS138" s="156">
        <f t="shared" si="24"/>
        <v>0</v>
      </c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  <c r="BJ138" s="156"/>
      <c r="BK138" s="156"/>
      <c r="BL138" s="156"/>
      <c r="BM138" s="156"/>
      <c r="BN138" s="156"/>
      <c r="BO138" s="156"/>
      <c r="BP138" s="156"/>
      <c r="BQ138" s="156"/>
      <c r="BR138" s="156"/>
      <c r="BS138" s="156"/>
      <c r="BT138" s="156"/>
      <c r="BU138" s="156"/>
      <c r="BV138" s="156"/>
      <c r="BW138" s="156"/>
      <c r="BX138" s="156"/>
      <c r="BY138" s="156"/>
      <c r="BZ138" s="156"/>
      <c r="CA138" s="156"/>
      <c r="CB138" s="156"/>
      <c r="CC138" s="156"/>
      <c r="CD138" s="156"/>
      <c r="CE138" s="156"/>
      <c r="CF138" s="156"/>
      <c r="CG138" s="156"/>
      <c r="CH138" s="156"/>
      <c r="CI138" s="156"/>
      <c r="CJ138" s="156" t="e">
        <f>+#REF!+CH138+CI138</f>
        <v>#REF!</v>
      </c>
      <c r="CK138" s="146"/>
      <c r="CL138" s="146"/>
    </row>
    <row r="139" spans="1:90" ht="44.25" customHeight="1">
      <c r="A139" s="166" t="s">
        <v>547</v>
      </c>
      <c r="B139" s="156">
        <f>SUM(C139:AP139)</f>
        <v>0</v>
      </c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69"/>
      <c r="AS139" s="156">
        <f t="shared" si="24"/>
        <v>0</v>
      </c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  <c r="BJ139" s="156"/>
      <c r="BK139" s="156"/>
      <c r="BL139" s="156"/>
      <c r="BM139" s="156"/>
      <c r="BN139" s="156"/>
      <c r="BO139" s="156"/>
      <c r="BP139" s="156"/>
      <c r="BQ139" s="156"/>
      <c r="BR139" s="156"/>
      <c r="BS139" s="156"/>
      <c r="BT139" s="156"/>
      <c r="BU139" s="156"/>
      <c r="BV139" s="156"/>
      <c r="BW139" s="156"/>
      <c r="BX139" s="156"/>
      <c r="BY139" s="156"/>
      <c r="BZ139" s="156"/>
      <c r="CA139" s="156"/>
      <c r="CB139" s="156"/>
      <c r="CC139" s="156"/>
      <c r="CD139" s="156"/>
      <c r="CE139" s="156"/>
      <c r="CF139" s="156"/>
      <c r="CG139" s="156"/>
      <c r="CH139" s="156"/>
      <c r="CI139" s="169"/>
      <c r="CJ139" s="156" t="e">
        <f>+#REF!+CH139+CI139</f>
        <v>#REF!</v>
      </c>
      <c r="CK139" s="146"/>
      <c r="CL139" s="146"/>
    </row>
    <row r="140" spans="1:90" ht="35.25" customHeight="1">
      <c r="A140" s="166" t="s">
        <v>548</v>
      </c>
      <c r="B140" s="156">
        <f>SUM(C140:AP140)</f>
        <v>0</v>
      </c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>
        <f t="shared" si="24"/>
        <v>0</v>
      </c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  <c r="BJ140" s="156"/>
      <c r="BK140" s="156"/>
      <c r="BL140" s="156"/>
      <c r="BM140" s="156"/>
      <c r="BN140" s="156"/>
      <c r="BO140" s="156"/>
      <c r="BP140" s="156"/>
      <c r="BQ140" s="156"/>
      <c r="BR140" s="156"/>
      <c r="BS140" s="156"/>
      <c r="BT140" s="156"/>
      <c r="BU140" s="156"/>
      <c r="BV140" s="156"/>
      <c r="BW140" s="156"/>
      <c r="BX140" s="156"/>
      <c r="BY140" s="156"/>
      <c r="BZ140" s="156"/>
      <c r="CA140" s="156"/>
      <c r="CB140" s="156"/>
      <c r="CC140" s="156"/>
      <c r="CD140" s="156"/>
      <c r="CE140" s="156"/>
      <c r="CF140" s="156"/>
      <c r="CG140" s="156"/>
      <c r="CH140" s="156"/>
      <c r="CI140" s="156"/>
      <c r="CJ140" s="156" t="e">
        <f>+#REF!+CH140+CI140</f>
        <v>#REF!</v>
      </c>
      <c r="CK140" s="146"/>
      <c r="CL140" s="146"/>
    </row>
    <row r="141" spans="1:90" ht="12">
      <c r="A141" s="166" t="s">
        <v>550</v>
      </c>
      <c r="B141" s="163">
        <f>SUM(C141:AP141)</f>
        <v>-1364.058</v>
      </c>
      <c r="C141" s="163"/>
      <c r="D141" s="163">
        <v>-1309.651</v>
      </c>
      <c r="E141" s="163"/>
      <c r="F141" s="163">
        <v>-41.687</v>
      </c>
      <c r="G141" s="163"/>
      <c r="H141" s="163"/>
      <c r="I141" s="163">
        <v>-12.72</v>
      </c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/>
      <c r="AH141" s="163"/>
      <c r="AI141" s="163"/>
      <c r="AJ141" s="163"/>
      <c r="AK141" s="163"/>
      <c r="AL141" s="163"/>
      <c r="AM141" s="163"/>
      <c r="AN141" s="163"/>
      <c r="AO141" s="163"/>
      <c r="AP141" s="163"/>
      <c r="AQ141" s="163">
        <v>-95875.714</v>
      </c>
      <c r="AR141" s="156"/>
      <c r="AS141" s="156">
        <f t="shared" si="24"/>
        <v>-97239.77200000001</v>
      </c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  <c r="BJ141" s="156"/>
      <c r="BK141" s="156"/>
      <c r="BL141" s="156"/>
      <c r="BM141" s="156"/>
      <c r="BN141" s="156"/>
      <c r="BO141" s="156"/>
      <c r="BP141" s="156"/>
      <c r="BQ141" s="156"/>
      <c r="BR141" s="156"/>
      <c r="BS141" s="156"/>
      <c r="BT141" s="156"/>
      <c r="BU141" s="156"/>
      <c r="BV141" s="156"/>
      <c r="BW141" s="156"/>
      <c r="BX141" s="156"/>
      <c r="BY141" s="156"/>
      <c r="BZ141" s="156"/>
      <c r="CA141" s="156"/>
      <c r="CB141" s="156"/>
      <c r="CC141" s="156"/>
      <c r="CD141" s="156"/>
      <c r="CE141" s="156"/>
      <c r="CF141" s="156"/>
      <c r="CG141" s="156"/>
      <c r="CH141" s="156">
        <v>-97216.5</v>
      </c>
      <c r="CI141" s="156"/>
      <c r="CJ141" s="156" t="e">
        <f>+#REF!+CH141+CI141</f>
        <v>#REF!</v>
      </c>
      <c r="CK141" s="146"/>
      <c r="CL141" s="146"/>
    </row>
    <row r="142" spans="1:90" ht="40.5" customHeight="1">
      <c r="A142" s="197" t="s">
        <v>551</v>
      </c>
      <c r="B142" s="156">
        <f>SUM(C142:AP142)</f>
        <v>0</v>
      </c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156"/>
      <c r="AK142" s="156"/>
      <c r="AL142" s="156"/>
      <c r="AM142" s="156"/>
      <c r="AN142" s="156"/>
      <c r="AO142" s="156"/>
      <c r="AP142" s="156"/>
      <c r="AQ142" s="156"/>
      <c r="AR142" s="156"/>
      <c r="AS142" s="156">
        <f>+B142+AQ142+AR142</f>
        <v>0</v>
      </c>
      <c r="AT142" s="156"/>
      <c r="AU142" s="156"/>
      <c r="AV142" s="156"/>
      <c r="AW142" s="156"/>
      <c r="AX142" s="156"/>
      <c r="AY142" s="156"/>
      <c r="AZ142" s="156"/>
      <c r="BA142" s="156"/>
      <c r="BB142" s="156"/>
      <c r="BC142" s="156"/>
      <c r="BD142" s="156"/>
      <c r="BE142" s="156"/>
      <c r="BF142" s="156"/>
      <c r="BG142" s="156"/>
      <c r="BH142" s="156"/>
      <c r="BI142" s="156"/>
      <c r="BJ142" s="156"/>
      <c r="BK142" s="156"/>
      <c r="BL142" s="156"/>
      <c r="BM142" s="156"/>
      <c r="BN142" s="156"/>
      <c r="BO142" s="156"/>
      <c r="BP142" s="156"/>
      <c r="BQ142" s="156"/>
      <c r="BR142" s="156"/>
      <c r="BS142" s="156"/>
      <c r="BT142" s="156"/>
      <c r="BU142" s="156"/>
      <c r="BV142" s="156"/>
      <c r="BW142" s="156"/>
      <c r="BX142" s="156"/>
      <c r="BY142" s="156"/>
      <c r="BZ142" s="156"/>
      <c r="CA142" s="156"/>
      <c r="CB142" s="156"/>
      <c r="CC142" s="156"/>
      <c r="CD142" s="156"/>
      <c r="CE142" s="156"/>
      <c r="CF142" s="156"/>
      <c r="CG142" s="156"/>
      <c r="CH142" s="156"/>
      <c r="CI142" s="156"/>
      <c r="CJ142" s="156" t="e">
        <f>+#REF!+CH142+CI142</f>
        <v>#REF!</v>
      </c>
      <c r="CK142" s="146"/>
      <c r="CL142" s="146"/>
    </row>
    <row r="143" spans="1:90" ht="38.25" customHeight="1">
      <c r="A143" s="188" t="s">
        <v>552</v>
      </c>
      <c r="B143" s="156">
        <f aca="true" t="shared" si="26" ref="B143:Z143">B142+B102+B69+B8</f>
        <v>-1811832.544</v>
      </c>
      <c r="C143" s="156">
        <f t="shared" si="26"/>
        <v>0</v>
      </c>
      <c r="D143" s="156">
        <f t="shared" si="26"/>
        <v>0</v>
      </c>
      <c r="E143" s="156">
        <f t="shared" si="26"/>
        <v>0</v>
      </c>
      <c r="F143" s="156">
        <f t="shared" si="26"/>
        <v>0</v>
      </c>
      <c r="G143" s="156">
        <f t="shared" si="26"/>
        <v>-8793.4</v>
      </c>
      <c r="H143" s="156">
        <f t="shared" si="26"/>
        <v>0</v>
      </c>
      <c r="I143" s="156">
        <f t="shared" si="26"/>
        <v>0</v>
      </c>
      <c r="J143" s="156">
        <f t="shared" si="26"/>
        <v>0</v>
      </c>
      <c r="K143" s="156">
        <f t="shared" si="26"/>
        <v>0</v>
      </c>
      <c r="L143" s="156">
        <f t="shared" si="26"/>
        <v>0</v>
      </c>
      <c r="M143" s="156">
        <f t="shared" si="26"/>
        <v>0</v>
      </c>
      <c r="N143" s="156">
        <f t="shared" si="26"/>
        <v>0</v>
      </c>
      <c r="O143" s="156">
        <f t="shared" si="26"/>
        <v>0</v>
      </c>
      <c r="P143" s="156">
        <f t="shared" si="26"/>
        <v>0</v>
      </c>
      <c r="Q143" s="156">
        <f t="shared" si="26"/>
        <v>0</v>
      </c>
      <c r="R143" s="156">
        <f t="shared" si="26"/>
        <v>0</v>
      </c>
      <c r="S143" s="156">
        <f t="shared" si="26"/>
        <v>0</v>
      </c>
      <c r="T143" s="156">
        <f t="shared" si="26"/>
        <v>0</v>
      </c>
      <c r="U143" s="156">
        <f t="shared" si="26"/>
        <v>0</v>
      </c>
      <c r="V143" s="156">
        <f t="shared" si="26"/>
        <v>0</v>
      </c>
      <c r="W143" s="156">
        <f t="shared" si="26"/>
        <v>0</v>
      </c>
      <c r="X143" s="156">
        <f t="shared" si="26"/>
        <v>0</v>
      </c>
      <c r="Y143" s="156">
        <f t="shared" si="26"/>
        <v>0</v>
      </c>
      <c r="Z143" s="156">
        <f t="shared" si="26"/>
        <v>0</v>
      </c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156"/>
      <c r="AK143" s="156"/>
      <c r="AL143" s="156"/>
      <c r="AM143" s="156"/>
      <c r="AN143" s="156"/>
      <c r="AO143" s="156"/>
      <c r="AP143" s="156"/>
      <c r="AQ143" s="156">
        <f>AQ142+AQ102+AQ69+AQ8</f>
        <v>-549680.1349999998</v>
      </c>
      <c r="AR143" s="156">
        <f>AR142+AR102+AR69+AR8</f>
        <v>0</v>
      </c>
      <c r="AS143" s="156">
        <f>AS142+AS102+AS69+AS8</f>
        <v>-1082428.4620000003</v>
      </c>
      <c r="AT143" s="156">
        <f>AT142+AT102+AT69+AT8</f>
        <v>0</v>
      </c>
      <c r="AU143" s="156"/>
      <c r="AV143" s="156"/>
      <c r="AW143" s="156"/>
      <c r="AX143" s="156"/>
      <c r="AY143" s="156"/>
      <c r="AZ143" s="156"/>
      <c r="BA143" s="156"/>
      <c r="BB143" s="156"/>
      <c r="BC143" s="156"/>
      <c r="BD143" s="156"/>
      <c r="BE143" s="156"/>
      <c r="BF143" s="156"/>
      <c r="BG143" s="156"/>
      <c r="BH143" s="156"/>
      <c r="BI143" s="156"/>
      <c r="BJ143" s="156"/>
      <c r="BK143" s="156"/>
      <c r="BL143" s="156"/>
      <c r="BM143" s="156"/>
      <c r="BN143" s="156"/>
      <c r="BO143" s="156"/>
      <c r="BP143" s="156"/>
      <c r="BQ143" s="156"/>
      <c r="BR143" s="156"/>
      <c r="BS143" s="156"/>
      <c r="BT143" s="156"/>
      <c r="BU143" s="156"/>
      <c r="BV143" s="156"/>
      <c r="BW143" s="156"/>
      <c r="BX143" s="156"/>
      <c r="BY143" s="156"/>
      <c r="BZ143" s="156"/>
      <c r="CA143" s="156"/>
      <c r="CB143" s="156"/>
      <c r="CC143" s="156"/>
      <c r="CD143" s="156"/>
      <c r="CE143" s="156"/>
      <c r="CF143" s="156"/>
      <c r="CG143" s="156"/>
      <c r="CH143" s="156">
        <f>CH142+CH102+CH69+CH8</f>
        <v>-219102.5</v>
      </c>
      <c r="CI143" s="156">
        <f>CI142+CI102+CI69+CI8</f>
        <v>0</v>
      </c>
      <c r="CJ143" s="156" t="e">
        <f>CJ142+CJ102+CJ69+CJ8</f>
        <v>#REF!</v>
      </c>
      <c r="CK143" s="146"/>
      <c r="CL143" s="146"/>
    </row>
    <row r="144" spans="1:90" ht="38.25" customHeight="1">
      <c r="A144" s="188" t="s">
        <v>553</v>
      </c>
      <c r="B144" s="156">
        <f>SUM(C144:G144)</f>
        <v>0</v>
      </c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156"/>
      <c r="AK144" s="156"/>
      <c r="AL144" s="156"/>
      <c r="AM144" s="156"/>
      <c r="AN144" s="156"/>
      <c r="AO144" s="156"/>
      <c r="AP144" s="156"/>
      <c r="AQ144" s="198"/>
      <c r="AR144" s="199">
        <v>1720310.396</v>
      </c>
      <c r="AS144" s="156">
        <f>+B144+AQ144+AR144</f>
        <v>1720310.396</v>
      </c>
      <c r="AT144" s="180"/>
      <c r="AU144" s="180"/>
      <c r="AV144" s="180"/>
      <c r="AW144" s="180"/>
      <c r="AX144" s="180"/>
      <c r="AY144" s="180"/>
      <c r="AZ144" s="180"/>
      <c r="BA144" s="180"/>
      <c r="BB144" s="180"/>
      <c r="BC144" s="180"/>
      <c r="BD144" s="180"/>
      <c r="BE144" s="180"/>
      <c r="BF144" s="180"/>
      <c r="BG144" s="180"/>
      <c r="BH144" s="180"/>
      <c r="BI144" s="180"/>
      <c r="BJ144" s="180"/>
      <c r="BK144" s="180"/>
      <c r="BL144" s="180"/>
      <c r="BM144" s="180"/>
      <c r="BN144" s="180"/>
      <c r="BO144" s="180"/>
      <c r="BP144" s="180"/>
      <c r="BQ144" s="180"/>
      <c r="BR144" s="180"/>
      <c r="BS144" s="180"/>
      <c r="BT144" s="180"/>
      <c r="BU144" s="180"/>
      <c r="BV144" s="180"/>
      <c r="BW144" s="180"/>
      <c r="BX144" s="180"/>
      <c r="BY144" s="180"/>
      <c r="BZ144" s="180"/>
      <c r="CA144" s="180"/>
      <c r="CB144" s="180"/>
      <c r="CC144" s="180"/>
      <c r="CD144" s="180"/>
      <c r="CE144" s="180"/>
      <c r="CF144" s="180"/>
      <c r="CG144" s="180"/>
      <c r="CH144" s="180"/>
      <c r="CI144" s="180"/>
      <c r="CJ144" s="156">
        <v>1011434</v>
      </c>
      <c r="CK144" s="146"/>
      <c r="CL144" s="146"/>
    </row>
    <row r="145" spans="1:88" ht="47.25" customHeight="1">
      <c r="A145" s="188" t="s">
        <v>554</v>
      </c>
      <c r="B145" s="156">
        <f>SUM(C145:G145)</f>
        <v>0</v>
      </c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6">
        <f>+SUM(AS143+AS144)</f>
        <v>637881.9339999997</v>
      </c>
      <c r="AT145" s="180">
        <f>+AT143+AT144</f>
        <v>0</v>
      </c>
      <c r="AU145" s="180"/>
      <c r="AV145" s="180"/>
      <c r="AW145" s="180"/>
      <c r="AX145" s="180"/>
      <c r="AY145" s="180"/>
      <c r="AZ145" s="180"/>
      <c r="BA145" s="180"/>
      <c r="BB145" s="180"/>
      <c r="BC145" s="180"/>
      <c r="BD145" s="180"/>
      <c r="BE145" s="180"/>
      <c r="BF145" s="180"/>
      <c r="BG145" s="180"/>
      <c r="BH145" s="180"/>
      <c r="BI145" s="180"/>
      <c r="BJ145" s="180"/>
      <c r="BK145" s="180"/>
      <c r="BL145" s="180"/>
      <c r="BM145" s="180"/>
      <c r="BN145" s="180"/>
      <c r="BO145" s="180"/>
      <c r="BP145" s="180"/>
      <c r="BQ145" s="180"/>
      <c r="BR145" s="180"/>
      <c r="BS145" s="180"/>
      <c r="BT145" s="180"/>
      <c r="BU145" s="180"/>
      <c r="BV145" s="180"/>
      <c r="BW145" s="180"/>
      <c r="BX145" s="180"/>
      <c r="BY145" s="180"/>
      <c r="BZ145" s="180"/>
      <c r="CA145" s="180"/>
      <c r="CB145" s="180"/>
      <c r="CC145" s="180"/>
      <c r="CD145" s="180"/>
      <c r="CE145" s="180"/>
      <c r="CF145" s="180"/>
      <c r="CG145" s="180"/>
      <c r="CH145" s="180">
        <f>+CH143+CH144</f>
        <v>-219102.5</v>
      </c>
      <c r="CI145" s="180">
        <f>+CI143+CI144</f>
        <v>0</v>
      </c>
      <c r="CJ145" s="178" t="e">
        <f>CJ144+CJ143</f>
        <v>#REF!</v>
      </c>
    </row>
    <row r="146" spans="1:92" s="204" customFormat="1" ht="12">
      <c r="A146" s="200" t="s">
        <v>555</v>
      </c>
      <c r="B146" s="201"/>
      <c r="C146" s="201">
        <f>+C145-'[2]17'!D27</f>
        <v>0</v>
      </c>
      <c r="D146" s="202">
        <f>+D145-'[2]17'!AN27</f>
        <v>0</v>
      </c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>
        <f>+Z145-'[2]17'!AO27</f>
        <v>0</v>
      </c>
      <c r="AA146" s="202"/>
      <c r="AB146" s="202"/>
      <c r="AC146" s="202"/>
      <c r="AD146" s="202"/>
      <c r="AE146" s="202"/>
      <c r="AF146" s="202"/>
      <c r="AG146" s="202"/>
      <c r="AH146" s="202"/>
      <c r="AI146" s="202"/>
      <c r="AJ146" s="202"/>
      <c r="AK146" s="202"/>
      <c r="AL146" s="202"/>
      <c r="AM146" s="202"/>
      <c r="AN146" s="202"/>
      <c r="AO146" s="202"/>
      <c r="AP146" s="202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3"/>
      <c r="CL146" s="203"/>
      <c r="CN146" s="146"/>
    </row>
    <row r="147" spans="1:92" s="204" customFormat="1" ht="12">
      <c r="A147" s="200"/>
      <c r="B147" s="201"/>
      <c r="C147" s="201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  <c r="AA147" s="202"/>
      <c r="AB147" s="202"/>
      <c r="AC147" s="202"/>
      <c r="AD147" s="202"/>
      <c r="AE147" s="202"/>
      <c r="AF147" s="202"/>
      <c r="AG147" s="202"/>
      <c r="AH147" s="202"/>
      <c r="AI147" s="202"/>
      <c r="AJ147" s="202"/>
      <c r="AK147" s="202"/>
      <c r="AL147" s="202"/>
      <c r="AM147" s="202"/>
      <c r="AN147" s="202"/>
      <c r="AO147" s="202"/>
      <c r="AP147" s="202"/>
      <c r="AQ147" s="201"/>
      <c r="AR147" s="201"/>
      <c r="AS147" s="201">
        <v>1720310.38595</v>
      </c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3"/>
      <c r="CL147" s="203"/>
      <c r="CN147" s="146"/>
    </row>
    <row r="148" spans="1:92" ht="12">
      <c r="A148" s="205"/>
      <c r="B148" s="206"/>
      <c r="C148" s="207"/>
      <c r="D148" s="208"/>
      <c r="E148" s="208"/>
      <c r="F148" s="208"/>
      <c r="G148" s="208"/>
      <c r="H148" s="208"/>
      <c r="I148" s="208"/>
      <c r="J148" s="208"/>
      <c r="K148" s="208"/>
      <c r="L148" s="208"/>
      <c r="M148" s="208"/>
      <c r="N148" s="208"/>
      <c r="O148" s="208"/>
      <c r="P148" s="208"/>
      <c r="Q148" s="208"/>
      <c r="R148" s="208"/>
      <c r="S148" s="208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7"/>
      <c r="AR148" s="207"/>
      <c r="AS148" s="209"/>
      <c r="AT148" s="207"/>
      <c r="AU148" s="207"/>
      <c r="AV148" s="207"/>
      <c r="AW148" s="207"/>
      <c r="AX148" s="207"/>
      <c r="AY148" s="207"/>
      <c r="AZ148" s="207"/>
      <c r="BA148" s="207"/>
      <c r="BB148" s="207"/>
      <c r="BC148" s="207"/>
      <c r="BD148" s="207"/>
      <c r="BE148" s="207"/>
      <c r="BF148" s="207"/>
      <c r="BG148" s="207"/>
      <c r="BH148" s="207"/>
      <c r="BI148" s="207"/>
      <c r="BJ148" s="207"/>
      <c r="BK148" s="207"/>
      <c r="BL148" s="207"/>
      <c r="BM148" s="207"/>
      <c r="BN148" s="207"/>
      <c r="BO148" s="207"/>
      <c r="BP148" s="207"/>
      <c r="BQ148" s="207"/>
      <c r="BR148" s="207"/>
      <c r="BS148" s="207"/>
      <c r="BT148" s="207"/>
      <c r="BU148" s="207"/>
      <c r="BV148" s="207"/>
      <c r="BW148" s="207"/>
      <c r="BX148" s="207"/>
      <c r="BY148" s="207"/>
      <c r="BZ148" s="207"/>
      <c r="CA148" s="207"/>
      <c r="CB148" s="207"/>
      <c r="CC148" s="207"/>
      <c r="CD148" s="207"/>
      <c r="CE148" s="207"/>
      <c r="CF148" s="207"/>
      <c r="CG148" s="207"/>
      <c r="CH148" s="207"/>
      <c r="CI148" s="207"/>
      <c r="CJ148" s="207"/>
      <c r="CK148" s="145">
        <v>637882.145</v>
      </c>
      <c r="CL148" s="145">
        <f>AS145-CK148</f>
        <v>-0.2110000003594905</v>
      </c>
      <c r="CN148" s="204"/>
    </row>
    <row r="149" spans="1:92" ht="12">
      <c r="A149" s="389"/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89"/>
      <c r="AE149" s="389"/>
      <c r="AF149" s="389"/>
      <c r="AG149" s="389"/>
      <c r="AH149" s="389"/>
      <c r="AI149" s="389"/>
      <c r="AJ149" s="389"/>
      <c r="AK149" s="389"/>
      <c r="AL149" s="389"/>
      <c r="AM149" s="389"/>
      <c r="AN149" s="389"/>
      <c r="AO149" s="389"/>
      <c r="AP149" s="389"/>
      <c r="AQ149" s="389"/>
      <c r="AR149" s="389"/>
      <c r="AS149" s="389"/>
      <c r="AT149" s="389"/>
      <c r="AU149" s="389"/>
      <c r="AV149" s="389"/>
      <c r="AW149" s="389"/>
      <c r="AX149" s="389"/>
      <c r="AY149" s="389"/>
      <c r="AZ149" s="389"/>
      <c r="BA149" s="389"/>
      <c r="BB149" s="389"/>
      <c r="BC149" s="389"/>
      <c r="BD149" s="389"/>
      <c r="BE149" s="389"/>
      <c r="BF149" s="389"/>
      <c r="BG149" s="389"/>
      <c r="BH149" s="389"/>
      <c r="BI149" s="389"/>
      <c r="BJ149" s="389"/>
      <c r="BK149" s="389"/>
      <c r="BL149" s="389"/>
      <c r="BM149" s="389"/>
      <c r="BN149" s="389"/>
      <c r="BO149" s="389"/>
      <c r="BP149" s="389"/>
      <c r="BQ149" s="389"/>
      <c r="BR149" s="389"/>
      <c r="BS149" s="389"/>
      <c r="BT149" s="389"/>
      <c r="BU149" s="389"/>
      <c r="BV149" s="389"/>
      <c r="BW149" s="389"/>
      <c r="BX149" s="389"/>
      <c r="BY149" s="389"/>
      <c r="BZ149" s="389"/>
      <c r="CA149" s="389"/>
      <c r="CB149" s="389"/>
      <c r="CC149" s="389"/>
      <c r="CD149" s="389"/>
      <c r="CE149" s="389"/>
      <c r="CF149" s="389"/>
      <c r="CG149" s="389"/>
      <c r="CH149" s="389"/>
      <c r="CI149" s="389"/>
      <c r="CJ149" s="389"/>
      <c r="CN149" s="204"/>
    </row>
    <row r="150" spans="1:92" s="148" customFormat="1" ht="12">
      <c r="A150" s="379"/>
      <c r="B150" s="381" t="s">
        <v>396</v>
      </c>
      <c r="C150" s="382"/>
      <c r="D150" s="382"/>
      <c r="E150" s="382"/>
      <c r="F150" s="382"/>
      <c r="G150" s="382"/>
      <c r="H150" s="382"/>
      <c r="I150" s="382"/>
      <c r="J150" s="382"/>
      <c r="K150" s="382"/>
      <c r="L150" s="382"/>
      <c r="M150" s="382"/>
      <c r="N150" s="382"/>
      <c r="O150" s="382"/>
      <c r="P150" s="382"/>
      <c r="Q150" s="382"/>
      <c r="R150" s="382"/>
      <c r="S150" s="382"/>
      <c r="T150" s="382"/>
      <c r="U150" s="382"/>
      <c r="V150" s="382"/>
      <c r="W150" s="382"/>
      <c r="X150" s="382"/>
      <c r="Y150" s="382"/>
      <c r="Z150" s="382"/>
      <c r="AA150" s="382"/>
      <c r="AB150" s="382"/>
      <c r="AC150" s="382"/>
      <c r="AD150" s="382"/>
      <c r="AE150" s="382"/>
      <c r="AF150" s="382"/>
      <c r="AG150" s="382"/>
      <c r="AH150" s="382"/>
      <c r="AI150" s="382"/>
      <c r="AJ150" s="382"/>
      <c r="AK150" s="382"/>
      <c r="AL150" s="382"/>
      <c r="AM150" s="382"/>
      <c r="AN150" s="382"/>
      <c r="AO150" s="382"/>
      <c r="AP150" s="382"/>
      <c r="AQ150" s="382"/>
      <c r="AR150" s="382"/>
      <c r="AS150" s="383"/>
      <c r="AT150" s="382"/>
      <c r="AU150" s="382"/>
      <c r="AV150" s="382"/>
      <c r="AW150" s="382"/>
      <c r="AX150" s="382"/>
      <c r="AY150" s="382"/>
      <c r="AZ150" s="382"/>
      <c r="BA150" s="382"/>
      <c r="BB150" s="382"/>
      <c r="BC150" s="382"/>
      <c r="BD150" s="382"/>
      <c r="BE150" s="382"/>
      <c r="BF150" s="382"/>
      <c r="BG150" s="382"/>
      <c r="BH150" s="382"/>
      <c r="BI150" s="382"/>
      <c r="BJ150" s="382"/>
      <c r="BK150" s="382"/>
      <c r="BL150" s="382"/>
      <c r="BM150" s="382"/>
      <c r="BN150" s="382"/>
      <c r="BO150" s="382"/>
      <c r="BP150" s="382"/>
      <c r="BQ150" s="382"/>
      <c r="BR150" s="382"/>
      <c r="BS150" s="382"/>
      <c r="BT150" s="382"/>
      <c r="BU150" s="382"/>
      <c r="BV150" s="382"/>
      <c r="BW150" s="382"/>
      <c r="BX150" s="382"/>
      <c r="BY150" s="382"/>
      <c r="BZ150" s="382"/>
      <c r="CA150" s="382"/>
      <c r="CB150" s="382"/>
      <c r="CC150" s="382"/>
      <c r="CD150" s="382"/>
      <c r="CE150" s="382"/>
      <c r="CF150" s="382"/>
      <c r="CG150" s="382"/>
      <c r="CH150" s="382"/>
      <c r="CI150" s="382"/>
      <c r="CJ150" s="383"/>
      <c r="CK150" s="147"/>
      <c r="CL150" s="147"/>
      <c r="CN150" s="146"/>
    </row>
    <row r="151" spans="1:88" ht="69.75" customHeight="1">
      <c r="A151" s="380"/>
      <c r="B151" s="149" t="s">
        <v>397</v>
      </c>
      <c r="C151" s="150" t="s">
        <v>398</v>
      </c>
      <c r="D151" s="150" t="s">
        <v>399</v>
      </c>
      <c r="E151" s="150" t="s">
        <v>400</v>
      </c>
      <c r="F151" s="150" t="s">
        <v>401</v>
      </c>
      <c r="G151" s="150" t="s">
        <v>402</v>
      </c>
      <c r="H151" s="150" t="s">
        <v>403</v>
      </c>
      <c r="I151" s="150" t="s">
        <v>404</v>
      </c>
      <c r="J151" s="150" t="s">
        <v>405</v>
      </c>
      <c r="K151" s="150" t="s">
        <v>406</v>
      </c>
      <c r="L151" s="150" t="s">
        <v>407</v>
      </c>
      <c r="M151" s="150" t="s">
        <v>408</v>
      </c>
      <c r="N151" s="150" t="s">
        <v>409</v>
      </c>
      <c r="O151" s="150" t="s">
        <v>410</v>
      </c>
      <c r="P151" s="150" t="s">
        <v>411</v>
      </c>
      <c r="Q151" s="150" t="s">
        <v>412</v>
      </c>
      <c r="R151" s="150" t="s">
        <v>413</v>
      </c>
      <c r="S151" s="150" t="s">
        <v>414</v>
      </c>
      <c r="T151" s="150" t="s">
        <v>415</v>
      </c>
      <c r="U151" s="150" t="s">
        <v>416</v>
      </c>
      <c r="V151" s="150" t="s">
        <v>417</v>
      </c>
      <c r="W151" s="150" t="s">
        <v>418</v>
      </c>
      <c r="X151" s="150" t="s">
        <v>419</v>
      </c>
      <c r="Y151" s="150" t="s">
        <v>420</v>
      </c>
      <c r="Z151" s="150" t="s">
        <v>421</v>
      </c>
      <c r="AA151" s="150" t="s">
        <v>422</v>
      </c>
      <c r="AB151" s="150" t="s">
        <v>423</v>
      </c>
      <c r="AC151" s="150" t="s">
        <v>424</v>
      </c>
      <c r="AD151" s="150" t="s">
        <v>425</v>
      </c>
      <c r="AE151" s="150" t="s">
        <v>426</v>
      </c>
      <c r="AF151" s="150" t="s">
        <v>427</v>
      </c>
      <c r="AG151" s="150" t="s">
        <v>428</v>
      </c>
      <c r="AH151" s="150" t="s">
        <v>429</v>
      </c>
      <c r="AI151" s="150" t="s">
        <v>430</v>
      </c>
      <c r="AJ151" s="150" t="s">
        <v>431</v>
      </c>
      <c r="AK151" s="150" t="s">
        <v>432</v>
      </c>
      <c r="AL151" s="150" t="s">
        <v>433</v>
      </c>
      <c r="AM151" s="150" t="s">
        <v>434</v>
      </c>
      <c r="AN151" s="150" t="s">
        <v>435</v>
      </c>
      <c r="AO151" s="150" t="s">
        <v>436</v>
      </c>
      <c r="AP151" s="150" t="s">
        <v>437</v>
      </c>
      <c r="AQ151" s="152" t="s">
        <v>556</v>
      </c>
      <c r="AR151" s="152" t="s">
        <v>557</v>
      </c>
      <c r="AS151" s="149" t="s">
        <v>77</v>
      </c>
      <c r="AT151" s="210" t="s">
        <v>558</v>
      </c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  <c r="BZ151" s="210"/>
      <c r="CA151" s="210"/>
      <c r="CB151" s="210"/>
      <c r="CC151" s="210"/>
      <c r="CD151" s="210"/>
      <c r="CE151" s="210"/>
      <c r="CF151" s="210"/>
      <c r="CG151" s="210"/>
      <c r="CH151" s="152" t="s">
        <v>556</v>
      </c>
      <c r="CI151" s="152" t="s">
        <v>557</v>
      </c>
      <c r="CJ151" s="149" t="s">
        <v>77</v>
      </c>
    </row>
    <row r="152" spans="1:92" ht="44.25" customHeight="1">
      <c r="A152" s="211" t="s">
        <v>559</v>
      </c>
      <c r="B152" s="212"/>
      <c r="C152" s="213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/>
      <c r="AF152" s="214"/>
      <c r="AG152" s="214"/>
      <c r="AH152" s="214"/>
      <c r="AI152" s="214"/>
      <c r="AJ152" s="214"/>
      <c r="AK152" s="214"/>
      <c r="AL152" s="214"/>
      <c r="AM152" s="214"/>
      <c r="AN152" s="214"/>
      <c r="AO152" s="214"/>
      <c r="AP152" s="214"/>
      <c r="AQ152" s="213"/>
      <c r="AR152" s="213"/>
      <c r="AS152" s="215"/>
      <c r="AT152" s="213"/>
      <c r="AU152" s="213"/>
      <c r="AV152" s="213"/>
      <c r="AW152" s="213"/>
      <c r="AX152" s="213"/>
      <c r="AY152" s="213"/>
      <c r="AZ152" s="213"/>
      <c r="BA152" s="213"/>
      <c r="BB152" s="213"/>
      <c r="BC152" s="213"/>
      <c r="BD152" s="213"/>
      <c r="BE152" s="213"/>
      <c r="BF152" s="213"/>
      <c r="BG152" s="213"/>
      <c r="BH152" s="213"/>
      <c r="BI152" s="213"/>
      <c r="BJ152" s="213"/>
      <c r="BK152" s="213"/>
      <c r="BL152" s="213"/>
      <c r="BM152" s="213"/>
      <c r="BN152" s="213"/>
      <c r="BO152" s="213"/>
      <c r="BP152" s="213"/>
      <c r="BQ152" s="213"/>
      <c r="BR152" s="213"/>
      <c r="BS152" s="213"/>
      <c r="BT152" s="213"/>
      <c r="BU152" s="213"/>
      <c r="BV152" s="213"/>
      <c r="BW152" s="213"/>
      <c r="BX152" s="213"/>
      <c r="BY152" s="213"/>
      <c r="BZ152" s="213"/>
      <c r="CA152" s="213"/>
      <c r="CB152" s="213"/>
      <c r="CC152" s="213"/>
      <c r="CD152" s="213"/>
      <c r="CE152" s="213"/>
      <c r="CF152" s="213"/>
      <c r="CG152" s="213"/>
      <c r="CH152" s="213"/>
      <c r="CI152" s="213"/>
      <c r="CJ152" s="216"/>
      <c r="CN152" s="148"/>
    </row>
    <row r="153" spans="1:88" ht="39.75" customHeight="1">
      <c r="A153" s="211" t="s">
        <v>560</v>
      </c>
      <c r="B153" s="212"/>
      <c r="C153" s="213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4"/>
      <c r="T153" s="214"/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/>
      <c r="AG153" s="214"/>
      <c r="AH153" s="214"/>
      <c r="AI153" s="214"/>
      <c r="AJ153" s="214"/>
      <c r="AK153" s="214"/>
      <c r="AL153" s="214"/>
      <c r="AM153" s="214"/>
      <c r="AN153" s="214"/>
      <c r="AO153" s="214"/>
      <c r="AP153" s="214"/>
      <c r="AQ153" s="213"/>
      <c r="AR153" s="213"/>
      <c r="AS153" s="217">
        <v>1029734</v>
      </c>
      <c r="AT153" s="213"/>
      <c r="AU153" s="213"/>
      <c r="AV153" s="213"/>
      <c r="AW153" s="213"/>
      <c r="AX153" s="213"/>
      <c r="AY153" s="213"/>
      <c r="AZ153" s="213"/>
      <c r="BA153" s="213"/>
      <c r="BB153" s="213"/>
      <c r="BC153" s="213"/>
      <c r="BD153" s="213"/>
      <c r="BE153" s="213"/>
      <c r="BF153" s="213"/>
      <c r="BG153" s="213"/>
      <c r="BH153" s="213"/>
      <c r="BI153" s="213"/>
      <c r="BJ153" s="213"/>
      <c r="BK153" s="213"/>
      <c r="BL153" s="213"/>
      <c r="BM153" s="213"/>
      <c r="BN153" s="213"/>
      <c r="BO153" s="213"/>
      <c r="BP153" s="213"/>
      <c r="BQ153" s="213"/>
      <c r="BR153" s="213"/>
      <c r="BS153" s="213"/>
      <c r="BT153" s="213"/>
      <c r="BU153" s="213"/>
      <c r="BV153" s="213"/>
      <c r="BW153" s="213"/>
      <c r="BX153" s="213"/>
      <c r="BY153" s="213"/>
      <c r="BZ153" s="213"/>
      <c r="CA153" s="213"/>
      <c r="CB153" s="213"/>
      <c r="CC153" s="213"/>
      <c r="CD153" s="213"/>
      <c r="CE153" s="213"/>
      <c r="CF153" s="213"/>
      <c r="CG153" s="213"/>
      <c r="CH153" s="213"/>
      <c r="CI153" s="213"/>
      <c r="CJ153" s="217">
        <v>664885</v>
      </c>
    </row>
    <row r="154" spans="1:88" ht="12.75">
      <c r="A154" s="218" t="s">
        <v>561</v>
      </c>
      <c r="B154" s="212"/>
      <c r="C154" s="213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/>
      <c r="T154" s="214"/>
      <c r="U154" s="214"/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/>
      <c r="AG154" s="214"/>
      <c r="AH154" s="214"/>
      <c r="AI154" s="214"/>
      <c r="AJ154" s="214"/>
      <c r="AK154" s="214"/>
      <c r="AL154" s="214"/>
      <c r="AM154" s="214"/>
      <c r="AN154" s="214"/>
      <c r="AO154" s="214"/>
      <c r="AP154" s="214"/>
      <c r="AQ154" s="213"/>
      <c r="AR154" s="213"/>
      <c r="AS154" s="219"/>
      <c r="AT154" s="213"/>
      <c r="AU154" s="213"/>
      <c r="AV154" s="213"/>
      <c r="AW154" s="213"/>
      <c r="AX154" s="213"/>
      <c r="AY154" s="213"/>
      <c r="AZ154" s="213"/>
      <c r="BA154" s="213"/>
      <c r="BB154" s="213"/>
      <c r="BC154" s="213"/>
      <c r="BD154" s="213"/>
      <c r="BE154" s="213"/>
      <c r="BF154" s="213"/>
      <c r="BG154" s="213"/>
      <c r="BH154" s="213"/>
      <c r="BI154" s="213"/>
      <c r="BJ154" s="213"/>
      <c r="BK154" s="213"/>
      <c r="BL154" s="213"/>
      <c r="BM154" s="213"/>
      <c r="BN154" s="213"/>
      <c r="BO154" s="213"/>
      <c r="BP154" s="213"/>
      <c r="BQ154" s="213"/>
      <c r="BR154" s="213"/>
      <c r="BS154" s="213"/>
      <c r="BT154" s="213"/>
      <c r="BU154" s="213"/>
      <c r="BV154" s="213"/>
      <c r="BW154" s="213"/>
      <c r="BX154" s="213"/>
      <c r="BY154" s="213"/>
      <c r="BZ154" s="213"/>
      <c r="CA154" s="213"/>
      <c r="CB154" s="213"/>
      <c r="CC154" s="213"/>
      <c r="CD154" s="213"/>
      <c r="CE154" s="213"/>
      <c r="CF154" s="213"/>
      <c r="CG154" s="213"/>
      <c r="CH154" s="213"/>
      <c r="CI154" s="213"/>
      <c r="CJ154" s="220"/>
    </row>
    <row r="155" spans="1:88" ht="29.25" customHeight="1">
      <c r="A155" s="211" t="s">
        <v>562</v>
      </c>
      <c r="B155" s="212"/>
      <c r="C155" s="213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  <c r="S155" s="214"/>
      <c r="T155" s="214"/>
      <c r="U155" s="214"/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/>
      <c r="AG155" s="214"/>
      <c r="AH155" s="214"/>
      <c r="AI155" s="214"/>
      <c r="AJ155" s="214"/>
      <c r="AK155" s="214"/>
      <c r="AL155" s="214"/>
      <c r="AM155" s="214"/>
      <c r="AN155" s="214"/>
      <c r="AO155" s="214"/>
      <c r="AP155" s="214"/>
      <c r="AQ155" s="213"/>
      <c r="AR155" s="213"/>
      <c r="AS155" s="217"/>
      <c r="AT155" s="213"/>
      <c r="AU155" s="213"/>
      <c r="AV155" s="213"/>
      <c r="AW155" s="213"/>
      <c r="AX155" s="213"/>
      <c r="AY155" s="213"/>
      <c r="AZ155" s="213"/>
      <c r="BA155" s="213"/>
      <c r="BB155" s="213"/>
      <c r="BC155" s="213"/>
      <c r="BD155" s="213"/>
      <c r="BE155" s="213"/>
      <c r="BF155" s="213"/>
      <c r="BG155" s="213"/>
      <c r="BH155" s="213"/>
      <c r="BI155" s="213"/>
      <c r="BJ155" s="213"/>
      <c r="BK155" s="213"/>
      <c r="BL155" s="213"/>
      <c r="BM155" s="213"/>
      <c r="BN155" s="213"/>
      <c r="BO155" s="213"/>
      <c r="BP155" s="213"/>
      <c r="BQ155" s="213"/>
      <c r="BR155" s="213"/>
      <c r="BS155" s="213"/>
      <c r="BT155" s="213"/>
      <c r="BU155" s="213"/>
      <c r="BV155" s="213"/>
      <c r="BW155" s="213"/>
      <c r="BX155" s="213"/>
      <c r="BY155" s="213"/>
      <c r="BZ155" s="213"/>
      <c r="CA155" s="213"/>
      <c r="CB155" s="213"/>
      <c r="CC155" s="213"/>
      <c r="CD155" s="213"/>
      <c r="CE155" s="213"/>
      <c r="CF155" s="213"/>
      <c r="CG155" s="213"/>
      <c r="CH155" s="213"/>
      <c r="CI155" s="213"/>
      <c r="CJ155" s="216"/>
    </row>
    <row r="156" spans="1:88" ht="26.25" customHeight="1">
      <c r="A156" s="221" t="s">
        <v>563</v>
      </c>
      <c r="B156" s="212"/>
      <c r="C156" s="213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4"/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/>
      <c r="AG156" s="214"/>
      <c r="AH156" s="214"/>
      <c r="AI156" s="214"/>
      <c r="AJ156" s="214"/>
      <c r="AK156" s="214"/>
      <c r="AL156" s="214"/>
      <c r="AM156" s="214"/>
      <c r="AN156" s="214"/>
      <c r="AO156" s="214"/>
      <c r="AP156" s="214"/>
      <c r="AQ156" s="213"/>
      <c r="AR156" s="213"/>
      <c r="AS156" s="217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3"/>
      <c r="BE156" s="213"/>
      <c r="BF156" s="213"/>
      <c r="BG156" s="213"/>
      <c r="BH156" s="213"/>
      <c r="BI156" s="213"/>
      <c r="BJ156" s="213"/>
      <c r="BK156" s="213"/>
      <c r="BL156" s="213"/>
      <c r="BM156" s="213"/>
      <c r="BN156" s="213"/>
      <c r="BO156" s="213"/>
      <c r="BP156" s="213"/>
      <c r="BQ156" s="213"/>
      <c r="BR156" s="213"/>
      <c r="BS156" s="213"/>
      <c r="BT156" s="213"/>
      <c r="BU156" s="213"/>
      <c r="BV156" s="213"/>
      <c r="BW156" s="213"/>
      <c r="BX156" s="213"/>
      <c r="BY156" s="213"/>
      <c r="BZ156" s="213"/>
      <c r="CA156" s="213"/>
      <c r="CB156" s="213"/>
      <c r="CC156" s="213"/>
      <c r="CD156" s="213"/>
      <c r="CE156" s="213"/>
      <c r="CF156" s="213"/>
      <c r="CG156" s="213"/>
      <c r="CH156" s="213"/>
      <c r="CI156" s="213"/>
      <c r="CJ156" s="217">
        <v>240832</v>
      </c>
    </row>
    <row r="157" spans="1:88" ht="30.75" customHeight="1">
      <c r="A157" s="221" t="s">
        <v>564</v>
      </c>
      <c r="B157" s="212"/>
      <c r="C157" s="213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214"/>
      <c r="AI157" s="214"/>
      <c r="AJ157" s="214"/>
      <c r="AK157" s="214"/>
      <c r="AL157" s="214"/>
      <c r="AM157" s="214"/>
      <c r="AN157" s="214"/>
      <c r="AO157" s="214"/>
      <c r="AP157" s="214"/>
      <c r="AQ157" s="213"/>
      <c r="AR157" s="213"/>
      <c r="AS157" s="217">
        <v>144583</v>
      </c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3"/>
      <c r="BE157" s="213"/>
      <c r="BF157" s="213"/>
      <c r="BG157" s="213"/>
      <c r="BH157" s="213"/>
      <c r="BI157" s="213"/>
      <c r="BJ157" s="213"/>
      <c r="BK157" s="213"/>
      <c r="BL157" s="213"/>
      <c r="BM157" s="213"/>
      <c r="BN157" s="213"/>
      <c r="BO157" s="213"/>
      <c r="BP157" s="213"/>
      <c r="BQ157" s="213"/>
      <c r="BR157" s="213"/>
      <c r="BS157" s="213"/>
      <c r="BT157" s="213"/>
      <c r="BU157" s="213"/>
      <c r="BV157" s="213"/>
      <c r="BW157" s="213"/>
      <c r="BX157" s="213"/>
      <c r="BY157" s="213"/>
      <c r="BZ157" s="213"/>
      <c r="CA157" s="213"/>
      <c r="CB157" s="213"/>
      <c r="CC157" s="213"/>
      <c r="CD157" s="213"/>
      <c r="CE157" s="213"/>
      <c r="CF157" s="213"/>
      <c r="CG157" s="213"/>
      <c r="CH157" s="213"/>
      <c r="CI157" s="213"/>
      <c r="CJ157" s="217">
        <v>226040</v>
      </c>
    </row>
    <row r="158" spans="1:88" ht="27.75" customHeight="1">
      <c r="A158" s="221" t="s">
        <v>565</v>
      </c>
      <c r="B158" s="212"/>
      <c r="C158" s="213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  <c r="AL158" s="214"/>
      <c r="AM158" s="214"/>
      <c r="AN158" s="214"/>
      <c r="AO158" s="214"/>
      <c r="AP158" s="214"/>
      <c r="AQ158" s="213"/>
      <c r="AR158" s="213"/>
      <c r="AS158" s="217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3"/>
      <c r="BE158" s="213"/>
      <c r="BF158" s="213"/>
      <c r="BG158" s="213"/>
      <c r="BH158" s="213"/>
      <c r="BI158" s="213"/>
      <c r="BJ158" s="213"/>
      <c r="BK158" s="213"/>
      <c r="BL158" s="213"/>
      <c r="BM158" s="213"/>
      <c r="BN158" s="213"/>
      <c r="BO158" s="213"/>
      <c r="BP158" s="213"/>
      <c r="BQ158" s="213"/>
      <c r="BR158" s="213"/>
      <c r="BS158" s="213"/>
      <c r="BT158" s="213"/>
      <c r="BU158" s="213"/>
      <c r="BV158" s="213"/>
      <c r="BW158" s="213"/>
      <c r="BX158" s="213"/>
      <c r="BY158" s="213"/>
      <c r="BZ158" s="213"/>
      <c r="CA158" s="213"/>
      <c r="CB158" s="213"/>
      <c r="CC158" s="213"/>
      <c r="CD158" s="213"/>
      <c r="CE158" s="213"/>
      <c r="CF158" s="213"/>
      <c r="CG158" s="213"/>
      <c r="CH158" s="213"/>
      <c r="CI158" s="213"/>
      <c r="CJ158" s="217">
        <v>-33564</v>
      </c>
    </row>
    <row r="159" spans="1:88" ht="48.75" customHeight="1">
      <c r="A159" s="221" t="s">
        <v>566</v>
      </c>
      <c r="B159" s="212"/>
      <c r="C159" s="213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4"/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/>
      <c r="AG159" s="214"/>
      <c r="AH159" s="214"/>
      <c r="AI159" s="214"/>
      <c r="AJ159" s="214"/>
      <c r="AK159" s="214"/>
      <c r="AL159" s="214"/>
      <c r="AM159" s="214"/>
      <c r="AN159" s="214"/>
      <c r="AO159" s="214"/>
      <c r="AP159" s="214"/>
      <c r="AQ159" s="213"/>
      <c r="AR159" s="213"/>
      <c r="AS159" s="217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3"/>
      <c r="BE159" s="213"/>
      <c r="BF159" s="213"/>
      <c r="BG159" s="213"/>
      <c r="BH159" s="213"/>
      <c r="BI159" s="213"/>
      <c r="BJ159" s="213"/>
      <c r="BK159" s="213"/>
      <c r="BL159" s="213"/>
      <c r="BM159" s="213"/>
      <c r="BN159" s="213"/>
      <c r="BO159" s="213"/>
      <c r="BP159" s="213"/>
      <c r="BQ159" s="213"/>
      <c r="BR159" s="213"/>
      <c r="BS159" s="213"/>
      <c r="BT159" s="213"/>
      <c r="BU159" s="213"/>
      <c r="BV159" s="213"/>
      <c r="BW159" s="213"/>
      <c r="BX159" s="213"/>
      <c r="BY159" s="213"/>
      <c r="BZ159" s="213"/>
      <c r="CA159" s="213"/>
      <c r="CB159" s="213"/>
      <c r="CC159" s="213"/>
      <c r="CD159" s="213"/>
      <c r="CE159" s="213"/>
      <c r="CF159" s="213"/>
      <c r="CG159" s="213"/>
      <c r="CH159" s="213"/>
      <c r="CI159" s="213"/>
      <c r="CJ159" s="217"/>
    </row>
    <row r="160" spans="1:88" ht="34.5" customHeight="1">
      <c r="A160" s="221" t="s">
        <v>567</v>
      </c>
      <c r="B160" s="212"/>
      <c r="C160" s="213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/>
      <c r="AG160" s="214"/>
      <c r="AH160" s="214"/>
      <c r="AI160" s="214"/>
      <c r="AJ160" s="214"/>
      <c r="AK160" s="214"/>
      <c r="AL160" s="214"/>
      <c r="AM160" s="214"/>
      <c r="AN160" s="214"/>
      <c r="AO160" s="214"/>
      <c r="AP160" s="214"/>
      <c r="AQ160" s="213"/>
      <c r="AR160" s="213"/>
      <c r="AS160" s="217">
        <v>22023</v>
      </c>
      <c r="AT160" s="213"/>
      <c r="AU160" s="213"/>
      <c r="AV160" s="213"/>
      <c r="AW160" s="213"/>
      <c r="AX160" s="213"/>
      <c r="AY160" s="213"/>
      <c r="AZ160" s="213"/>
      <c r="BA160" s="213"/>
      <c r="BB160" s="213"/>
      <c r="BC160" s="213"/>
      <c r="BD160" s="213"/>
      <c r="BE160" s="213"/>
      <c r="BF160" s="213"/>
      <c r="BG160" s="213"/>
      <c r="BH160" s="213"/>
      <c r="BI160" s="213"/>
      <c r="BJ160" s="213"/>
      <c r="BK160" s="213"/>
      <c r="BL160" s="213"/>
      <c r="BM160" s="213"/>
      <c r="BN160" s="213"/>
      <c r="BO160" s="213"/>
      <c r="BP160" s="213"/>
      <c r="BQ160" s="213"/>
      <c r="BR160" s="213"/>
      <c r="BS160" s="213"/>
      <c r="BT160" s="213"/>
      <c r="BU160" s="213"/>
      <c r="BV160" s="213"/>
      <c r="BW160" s="213"/>
      <c r="BX160" s="213"/>
      <c r="BY160" s="213"/>
      <c r="BZ160" s="213"/>
      <c r="CA160" s="213"/>
      <c r="CB160" s="213"/>
      <c r="CC160" s="213"/>
      <c r="CD160" s="213"/>
      <c r="CE160" s="213"/>
      <c r="CF160" s="213"/>
      <c r="CG160" s="213"/>
      <c r="CH160" s="213"/>
      <c r="CI160" s="213"/>
      <c r="CJ160" s="217"/>
    </row>
    <row r="161" spans="1:88" ht="35.25" customHeight="1">
      <c r="A161" s="221" t="s">
        <v>568</v>
      </c>
      <c r="B161" s="212"/>
      <c r="C161" s="213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4"/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/>
      <c r="AG161" s="214"/>
      <c r="AH161" s="214"/>
      <c r="AI161" s="214"/>
      <c r="AJ161" s="214"/>
      <c r="AK161" s="214"/>
      <c r="AL161" s="214"/>
      <c r="AM161" s="214"/>
      <c r="AN161" s="214"/>
      <c r="AO161" s="214"/>
      <c r="AP161" s="214"/>
      <c r="AQ161" s="213"/>
      <c r="AR161" s="213"/>
      <c r="AS161" s="217">
        <v>1980</v>
      </c>
      <c r="AT161" s="213"/>
      <c r="AU161" s="213"/>
      <c r="AV161" s="213"/>
      <c r="AW161" s="213"/>
      <c r="AX161" s="213"/>
      <c r="AY161" s="213"/>
      <c r="AZ161" s="213"/>
      <c r="BA161" s="213"/>
      <c r="BB161" s="213"/>
      <c r="BC161" s="213"/>
      <c r="BD161" s="213"/>
      <c r="BE161" s="213"/>
      <c r="BF161" s="213"/>
      <c r="BG161" s="213"/>
      <c r="BH161" s="213"/>
      <c r="BI161" s="213"/>
      <c r="BJ161" s="213"/>
      <c r="BK161" s="213"/>
      <c r="BL161" s="213"/>
      <c r="BM161" s="213"/>
      <c r="BN161" s="213"/>
      <c r="BO161" s="213"/>
      <c r="BP161" s="213"/>
      <c r="BQ161" s="213"/>
      <c r="BR161" s="213"/>
      <c r="BS161" s="213"/>
      <c r="BT161" s="213"/>
      <c r="BU161" s="213"/>
      <c r="BV161" s="213"/>
      <c r="BW161" s="213"/>
      <c r="BX161" s="213"/>
      <c r="BY161" s="213"/>
      <c r="BZ161" s="213"/>
      <c r="CA161" s="213"/>
      <c r="CB161" s="213"/>
      <c r="CC161" s="213"/>
      <c r="CD161" s="213"/>
      <c r="CE161" s="213"/>
      <c r="CF161" s="213"/>
      <c r="CG161" s="213"/>
      <c r="CH161" s="213"/>
      <c r="CI161" s="213"/>
      <c r="CJ161" s="217">
        <v>794</v>
      </c>
    </row>
    <row r="162" spans="1:88" ht="36" customHeight="1">
      <c r="A162" s="221" t="s">
        <v>569</v>
      </c>
      <c r="B162" s="212"/>
      <c r="C162" s="213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/>
      <c r="AG162" s="214"/>
      <c r="AH162" s="214"/>
      <c r="AI162" s="214"/>
      <c r="AJ162" s="214"/>
      <c r="AK162" s="214"/>
      <c r="AL162" s="214"/>
      <c r="AM162" s="214"/>
      <c r="AN162" s="214"/>
      <c r="AO162" s="214"/>
      <c r="AP162" s="214"/>
      <c r="AQ162" s="213"/>
      <c r="AR162" s="213"/>
      <c r="AS162" s="217">
        <v>-33564</v>
      </c>
      <c r="AT162" s="213"/>
      <c r="AU162" s="213"/>
      <c r="AV162" s="213"/>
      <c r="AW162" s="213"/>
      <c r="AX162" s="213"/>
      <c r="AY162" s="213"/>
      <c r="AZ162" s="213"/>
      <c r="BA162" s="213"/>
      <c r="BB162" s="213"/>
      <c r="BC162" s="213"/>
      <c r="BD162" s="213"/>
      <c r="BE162" s="213"/>
      <c r="BF162" s="213"/>
      <c r="BG162" s="213"/>
      <c r="BH162" s="213"/>
      <c r="BI162" s="213"/>
      <c r="BJ162" s="213"/>
      <c r="BK162" s="213"/>
      <c r="BL162" s="213"/>
      <c r="BM162" s="213"/>
      <c r="BN162" s="213"/>
      <c r="BO162" s="213"/>
      <c r="BP162" s="213"/>
      <c r="BQ162" s="213"/>
      <c r="BR162" s="213"/>
      <c r="BS162" s="213"/>
      <c r="BT162" s="213"/>
      <c r="BU162" s="213"/>
      <c r="BV162" s="213"/>
      <c r="BW162" s="213"/>
      <c r="BX162" s="213"/>
      <c r="BY162" s="213"/>
      <c r="BZ162" s="213"/>
      <c r="CA162" s="213"/>
      <c r="CB162" s="213"/>
      <c r="CC162" s="213"/>
      <c r="CD162" s="213"/>
      <c r="CE162" s="213"/>
      <c r="CF162" s="213"/>
      <c r="CG162" s="213"/>
      <c r="CH162" s="213"/>
      <c r="CI162" s="213"/>
      <c r="CJ162" s="217">
        <v>4892</v>
      </c>
    </row>
    <row r="163" spans="1:123" ht="47.25" customHeight="1">
      <c r="A163" s="211" t="s">
        <v>570</v>
      </c>
      <c r="B163" s="212"/>
      <c r="C163" s="213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4"/>
      <c r="V163" s="214"/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/>
      <c r="AG163" s="214"/>
      <c r="AH163" s="214"/>
      <c r="AI163" s="214"/>
      <c r="AJ163" s="214"/>
      <c r="AK163" s="214"/>
      <c r="AL163" s="214"/>
      <c r="AM163" s="214"/>
      <c r="AN163" s="214"/>
      <c r="AO163" s="214"/>
      <c r="AP163" s="214"/>
      <c r="AQ163" s="213"/>
      <c r="AR163" s="213"/>
      <c r="AS163" s="222"/>
      <c r="AT163" s="213"/>
      <c r="AU163" s="213"/>
      <c r="AV163" s="213"/>
      <c r="AW163" s="213"/>
      <c r="AX163" s="213"/>
      <c r="AY163" s="213"/>
      <c r="AZ163" s="213"/>
      <c r="BA163" s="213"/>
      <c r="BB163" s="213"/>
      <c r="BC163" s="213"/>
      <c r="BD163" s="213"/>
      <c r="BE163" s="213"/>
      <c r="BF163" s="213"/>
      <c r="BG163" s="213"/>
      <c r="BH163" s="213"/>
      <c r="BI163" s="213"/>
      <c r="BJ163" s="213"/>
      <c r="BK163" s="213"/>
      <c r="BL163" s="213"/>
      <c r="BM163" s="213"/>
      <c r="BN163" s="213"/>
      <c r="BO163" s="213"/>
      <c r="BP163" s="213"/>
      <c r="BQ163" s="213"/>
      <c r="BR163" s="213"/>
      <c r="BS163" s="213"/>
      <c r="BT163" s="213"/>
      <c r="BU163" s="213"/>
      <c r="BV163" s="213"/>
      <c r="BW163" s="213"/>
      <c r="BX163" s="213"/>
      <c r="BY163" s="213"/>
      <c r="BZ163" s="213"/>
      <c r="CA163" s="213"/>
      <c r="CB163" s="213"/>
      <c r="CC163" s="213"/>
      <c r="CD163" s="213"/>
      <c r="CE163" s="213"/>
      <c r="CF163" s="213"/>
      <c r="CG163" s="213"/>
      <c r="CH163" s="213"/>
      <c r="CI163" s="213"/>
      <c r="CJ163" s="222">
        <f>+SUM(CJ153:CJ162)</f>
        <v>1103879</v>
      </c>
      <c r="CL163" s="223"/>
      <c r="CM163" s="207"/>
      <c r="CO163" s="207"/>
      <c r="CP163" s="207"/>
      <c r="CQ163" s="207"/>
      <c r="CR163" s="207"/>
      <c r="CS163" s="207"/>
      <c r="CT163" s="207"/>
      <c r="CU163" s="207"/>
      <c r="CV163" s="207"/>
      <c r="CW163" s="207"/>
      <c r="CX163" s="207"/>
      <c r="CY163" s="207"/>
      <c r="CZ163" s="207"/>
      <c r="DA163" s="207"/>
      <c r="DB163" s="207"/>
      <c r="DC163" s="207"/>
      <c r="DD163" s="207"/>
      <c r="DE163" s="207"/>
      <c r="DF163" s="207"/>
      <c r="DG163" s="207"/>
      <c r="DH163" s="207"/>
      <c r="DI163" s="207"/>
      <c r="DJ163" s="207"/>
      <c r="DK163" s="207"/>
      <c r="DL163" s="207"/>
      <c r="DM163" s="207"/>
      <c r="DN163" s="207"/>
      <c r="DO163" s="207"/>
      <c r="DP163" s="207"/>
      <c r="DQ163" s="207"/>
      <c r="DR163" s="207"/>
      <c r="DS163" s="207"/>
    </row>
    <row r="164" spans="1:88" ht="30.75" customHeight="1">
      <c r="A164" s="211" t="s">
        <v>571</v>
      </c>
      <c r="B164" s="212"/>
      <c r="C164" s="213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4"/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/>
      <c r="AG164" s="214"/>
      <c r="AH164" s="214"/>
      <c r="AI164" s="214"/>
      <c r="AJ164" s="214"/>
      <c r="AK164" s="214"/>
      <c r="AL164" s="214"/>
      <c r="AM164" s="214"/>
      <c r="AN164" s="214"/>
      <c r="AO164" s="214"/>
      <c r="AP164" s="214"/>
      <c r="AQ164" s="213"/>
      <c r="AR164" s="213"/>
      <c r="AS164" s="222"/>
      <c r="AT164" s="213"/>
      <c r="AU164" s="213"/>
      <c r="AV164" s="213"/>
      <c r="AW164" s="213"/>
      <c r="AX164" s="213"/>
      <c r="AY164" s="213"/>
      <c r="AZ164" s="213"/>
      <c r="BA164" s="213"/>
      <c r="BB164" s="213"/>
      <c r="BC164" s="213"/>
      <c r="BD164" s="213"/>
      <c r="BE164" s="213"/>
      <c r="BF164" s="213"/>
      <c r="BG164" s="213"/>
      <c r="BH164" s="213"/>
      <c r="BI164" s="213"/>
      <c r="BJ164" s="213"/>
      <c r="BK164" s="213"/>
      <c r="BL164" s="213"/>
      <c r="BM164" s="213"/>
      <c r="BN164" s="213"/>
      <c r="BO164" s="213"/>
      <c r="BP164" s="213"/>
      <c r="BQ164" s="213"/>
      <c r="BR164" s="213"/>
      <c r="BS164" s="213"/>
      <c r="BT164" s="213"/>
      <c r="BU164" s="213"/>
      <c r="BV164" s="213"/>
      <c r="BW164" s="213"/>
      <c r="BX164" s="213"/>
      <c r="BY164" s="213"/>
      <c r="BZ164" s="213"/>
      <c r="CA164" s="213"/>
      <c r="CB164" s="213"/>
      <c r="CC164" s="213"/>
      <c r="CD164" s="213"/>
      <c r="CE164" s="213"/>
      <c r="CF164" s="213"/>
      <c r="CG164" s="213"/>
      <c r="CH164" s="213"/>
      <c r="CI164" s="213"/>
      <c r="CJ164" s="222">
        <f>+SUM(CJ165:CJ174)</f>
        <v>507416</v>
      </c>
    </row>
    <row r="165" spans="1:92" ht="34.5" customHeight="1">
      <c r="A165" s="221" t="s">
        <v>572</v>
      </c>
      <c r="B165" s="212"/>
      <c r="C165" s="213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/>
      <c r="AG165" s="214"/>
      <c r="AH165" s="214"/>
      <c r="AI165" s="214"/>
      <c r="AJ165" s="214"/>
      <c r="AK165" s="214"/>
      <c r="AL165" s="214"/>
      <c r="AM165" s="214"/>
      <c r="AN165" s="214"/>
      <c r="AO165" s="214"/>
      <c r="AP165" s="214"/>
      <c r="AQ165" s="213"/>
      <c r="AR165" s="213"/>
      <c r="AS165" s="224">
        <v>368519</v>
      </c>
      <c r="AT165" s="213"/>
      <c r="AU165" s="213"/>
      <c r="AV165" s="213"/>
      <c r="AW165" s="213"/>
      <c r="AX165" s="213"/>
      <c r="AY165" s="213"/>
      <c r="AZ165" s="213"/>
      <c r="BA165" s="213"/>
      <c r="BB165" s="213"/>
      <c r="BC165" s="213"/>
      <c r="BD165" s="213"/>
      <c r="BE165" s="213"/>
      <c r="BF165" s="213"/>
      <c r="BG165" s="213"/>
      <c r="BH165" s="213"/>
      <c r="BI165" s="213"/>
      <c r="BJ165" s="213"/>
      <c r="BK165" s="213"/>
      <c r="BL165" s="213"/>
      <c r="BM165" s="213"/>
      <c r="BN165" s="213"/>
      <c r="BO165" s="213"/>
      <c r="BP165" s="213"/>
      <c r="BQ165" s="213"/>
      <c r="BR165" s="213"/>
      <c r="BS165" s="213"/>
      <c r="BT165" s="213"/>
      <c r="BU165" s="213"/>
      <c r="BV165" s="213"/>
      <c r="BW165" s="213"/>
      <c r="BX165" s="213"/>
      <c r="BY165" s="213"/>
      <c r="BZ165" s="213"/>
      <c r="CA165" s="213"/>
      <c r="CB165" s="213"/>
      <c r="CC165" s="213"/>
      <c r="CD165" s="213"/>
      <c r="CE165" s="213"/>
      <c r="CF165" s="213"/>
      <c r="CG165" s="213"/>
      <c r="CH165" s="213"/>
      <c r="CI165" s="213"/>
      <c r="CJ165" s="222">
        <f>+SUM(CJ166:CJ175)</f>
        <v>706237</v>
      </c>
      <c r="CN165" s="207"/>
    </row>
    <row r="166" spans="1:88" ht="35.25" customHeight="1">
      <c r="A166" s="221" t="s">
        <v>573</v>
      </c>
      <c r="B166" s="212"/>
      <c r="C166" s="213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4"/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/>
      <c r="AG166" s="214"/>
      <c r="AH166" s="214"/>
      <c r="AI166" s="214"/>
      <c r="AJ166" s="214"/>
      <c r="AK166" s="214"/>
      <c r="AL166" s="214"/>
      <c r="AM166" s="214"/>
      <c r="AN166" s="214"/>
      <c r="AO166" s="214"/>
      <c r="AP166" s="214"/>
      <c r="AQ166" s="213"/>
      <c r="AR166" s="213"/>
      <c r="AS166" s="224">
        <v>-104420</v>
      </c>
      <c r="AT166" s="213"/>
      <c r="AU166" s="213"/>
      <c r="AV166" s="213"/>
      <c r="AW166" s="213"/>
      <c r="AX166" s="213"/>
      <c r="AY166" s="213"/>
      <c r="AZ166" s="213"/>
      <c r="BA166" s="213"/>
      <c r="BB166" s="213"/>
      <c r="BC166" s="213"/>
      <c r="BD166" s="213"/>
      <c r="BE166" s="213"/>
      <c r="BF166" s="213"/>
      <c r="BG166" s="213"/>
      <c r="BH166" s="213"/>
      <c r="BI166" s="213"/>
      <c r="BJ166" s="213"/>
      <c r="BK166" s="213"/>
      <c r="BL166" s="213"/>
      <c r="BM166" s="213"/>
      <c r="BN166" s="213"/>
      <c r="BO166" s="213"/>
      <c r="BP166" s="213"/>
      <c r="BQ166" s="213"/>
      <c r="BR166" s="213"/>
      <c r="BS166" s="213"/>
      <c r="BT166" s="213"/>
      <c r="BU166" s="213"/>
      <c r="BV166" s="213"/>
      <c r="BW166" s="213"/>
      <c r="BX166" s="213"/>
      <c r="BY166" s="213"/>
      <c r="BZ166" s="213"/>
      <c r="CA166" s="213"/>
      <c r="CB166" s="213"/>
      <c r="CC166" s="213"/>
      <c r="CD166" s="213"/>
      <c r="CE166" s="213"/>
      <c r="CF166" s="213"/>
      <c r="CG166" s="213"/>
      <c r="CH166" s="213"/>
      <c r="CI166" s="213"/>
      <c r="CJ166" s="224">
        <v>-149682</v>
      </c>
    </row>
    <row r="167" spans="1:88" ht="36" customHeight="1">
      <c r="A167" s="221" t="s">
        <v>574</v>
      </c>
      <c r="B167" s="212"/>
      <c r="C167" s="213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/>
      <c r="AG167" s="214"/>
      <c r="AH167" s="214"/>
      <c r="AI167" s="214"/>
      <c r="AJ167" s="214"/>
      <c r="AK167" s="214"/>
      <c r="AL167" s="214"/>
      <c r="AM167" s="214"/>
      <c r="AN167" s="214"/>
      <c r="AO167" s="214"/>
      <c r="AP167" s="214"/>
      <c r="AQ167" s="213"/>
      <c r="AR167" s="213"/>
      <c r="AS167" s="225"/>
      <c r="AT167" s="214"/>
      <c r="AU167" s="214"/>
      <c r="AV167" s="214"/>
      <c r="AW167" s="214"/>
      <c r="AX167" s="214"/>
      <c r="AY167" s="214"/>
      <c r="AZ167" s="214"/>
      <c r="BA167" s="214"/>
      <c r="BB167" s="214"/>
      <c r="BC167" s="214"/>
      <c r="BD167" s="214"/>
      <c r="BE167" s="214"/>
      <c r="BF167" s="214"/>
      <c r="BG167" s="214"/>
      <c r="BH167" s="214"/>
      <c r="BI167" s="214"/>
      <c r="BJ167" s="214"/>
      <c r="BK167" s="214"/>
      <c r="BL167" s="214"/>
      <c r="BM167" s="214"/>
      <c r="BN167" s="214"/>
      <c r="BO167" s="214"/>
      <c r="BP167" s="214"/>
      <c r="BQ167" s="214"/>
      <c r="BR167" s="214"/>
      <c r="BS167" s="214"/>
      <c r="BT167" s="214"/>
      <c r="BU167" s="214"/>
      <c r="BV167" s="214"/>
      <c r="BW167" s="214"/>
      <c r="BX167" s="214"/>
      <c r="BY167" s="214"/>
      <c r="BZ167" s="214"/>
      <c r="CA167" s="214"/>
      <c r="CB167" s="214"/>
      <c r="CC167" s="214"/>
      <c r="CD167" s="214"/>
      <c r="CE167" s="214"/>
      <c r="CF167" s="214"/>
      <c r="CG167" s="214"/>
      <c r="CH167" s="214"/>
      <c r="CI167" s="214"/>
      <c r="CJ167" s="224">
        <v>-88219</v>
      </c>
    </row>
    <row r="168" spans="1:88" ht="45.75" customHeight="1">
      <c r="A168" s="221" t="s">
        <v>575</v>
      </c>
      <c r="B168" s="212"/>
      <c r="C168" s="213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4"/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/>
      <c r="AG168" s="214"/>
      <c r="AH168" s="214"/>
      <c r="AI168" s="214"/>
      <c r="AJ168" s="214"/>
      <c r="AK168" s="214"/>
      <c r="AL168" s="214"/>
      <c r="AM168" s="214"/>
      <c r="AN168" s="214"/>
      <c r="AO168" s="214"/>
      <c r="AP168" s="214"/>
      <c r="AQ168" s="213"/>
      <c r="AR168" s="213"/>
      <c r="AS168" s="225"/>
      <c r="AT168" s="214"/>
      <c r="AU168" s="214"/>
      <c r="AV168" s="214"/>
      <c r="AW168" s="214"/>
      <c r="AX168" s="214"/>
      <c r="AY168" s="214"/>
      <c r="AZ168" s="214"/>
      <c r="BA168" s="214"/>
      <c r="BB168" s="214"/>
      <c r="BC168" s="214"/>
      <c r="BD168" s="214"/>
      <c r="BE168" s="214"/>
      <c r="BF168" s="214"/>
      <c r="BG168" s="214"/>
      <c r="BH168" s="214"/>
      <c r="BI168" s="214"/>
      <c r="BJ168" s="214"/>
      <c r="BK168" s="214"/>
      <c r="BL168" s="214"/>
      <c r="BM168" s="214"/>
      <c r="BN168" s="214"/>
      <c r="BO168" s="214"/>
      <c r="BP168" s="214"/>
      <c r="BQ168" s="214"/>
      <c r="BR168" s="214"/>
      <c r="BS168" s="214"/>
      <c r="BT168" s="214"/>
      <c r="BU168" s="214"/>
      <c r="BV168" s="214"/>
      <c r="BW168" s="214"/>
      <c r="BX168" s="214"/>
      <c r="BY168" s="214"/>
      <c r="BZ168" s="214"/>
      <c r="CA168" s="214"/>
      <c r="CB168" s="214"/>
      <c r="CC168" s="214"/>
      <c r="CD168" s="214"/>
      <c r="CE168" s="214"/>
      <c r="CF168" s="214"/>
      <c r="CG168" s="214"/>
      <c r="CH168" s="214"/>
      <c r="CI168" s="214"/>
      <c r="CJ168" s="225"/>
    </row>
    <row r="169" spans="1:88" ht="35.25" customHeight="1">
      <c r="A169" s="221" t="s">
        <v>576</v>
      </c>
      <c r="B169" s="212"/>
      <c r="C169" s="213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4"/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/>
      <c r="AH169" s="214"/>
      <c r="AI169" s="214"/>
      <c r="AJ169" s="214"/>
      <c r="AK169" s="214"/>
      <c r="AL169" s="214"/>
      <c r="AM169" s="214"/>
      <c r="AN169" s="214"/>
      <c r="AO169" s="214"/>
      <c r="AP169" s="214"/>
      <c r="AQ169" s="213"/>
      <c r="AR169" s="213"/>
      <c r="AS169" s="225"/>
      <c r="AT169" s="214"/>
      <c r="AU169" s="214"/>
      <c r="AV169" s="214"/>
      <c r="AW169" s="214"/>
      <c r="AX169" s="214"/>
      <c r="AY169" s="214"/>
      <c r="AZ169" s="214"/>
      <c r="BA169" s="214"/>
      <c r="BB169" s="214"/>
      <c r="BC169" s="214"/>
      <c r="BD169" s="214"/>
      <c r="BE169" s="214"/>
      <c r="BF169" s="214"/>
      <c r="BG169" s="214"/>
      <c r="BH169" s="214"/>
      <c r="BI169" s="214"/>
      <c r="BJ169" s="214"/>
      <c r="BK169" s="214"/>
      <c r="BL169" s="214"/>
      <c r="BM169" s="214"/>
      <c r="BN169" s="214"/>
      <c r="BO169" s="214"/>
      <c r="BP169" s="214"/>
      <c r="BQ169" s="214"/>
      <c r="BR169" s="214"/>
      <c r="BS169" s="214"/>
      <c r="BT169" s="214"/>
      <c r="BU169" s="214"/>
      <c r="BV169" s="214"/>
      <c r="BW169" s="214"/>
      <c r="BX169" s="214"/>
      <c r="BY169" s="214"/>
      <c r="BZ169" s="214"/>
      <c r="CA169" s="214"/>
      <c r="CB169" s="214"/>
      <c r="CC169" s="214"/>
      <c r="CD169" s="214"/>
      <c r="CE169" s="214"/>
      <c r="CF169" s="214"/>
      <c r="CG169" s="214"/>
      <c r="CH169" s="214"/>
      <c r="CI169" s="214"/>
      <c r="CJ169" s="225"/>
    </row>
    <row r="170" spans="1:88" ht="37.5" customHeight="1">
      <c r="A170" s="221" t="s">
        <v>577</v>
      </c>
      <c r="B170" s="212"/>
      <c r="C170" s="213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3"/>
      <c r="AR170" s="213"/>
      <c r="AS170" s="225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14"/>
      <c r="BG170" s="214"/>
      <c r="BH170" s="214"/>
      <c r="BI170" s="214"/>
      <c r="BJ170" s="214"/>
      <c r="BK170" s="214"/>
      <c r="BL170" s="214"/>
      <c r="BM170" s="214"/>
      <c r="BN170" s="214"/>
      <c r="BO170" s="214"/>
      <c r="BP170" s="214"/>
      <c r="BQ170" s="214"/>
      <c r="BR170" s="214"/>
      <c r="BS170" s="214"/>
      <c r="BT170" s="214"/>
      <c r="BU170" s="214"/>
      <c r="BV170" s="214"/>
      <c r="BW170" s="214"/>
      <c r="BX170" s="214"/>
      <c r="BY170" s="214"/>
      <c r="BZ170" s="214"/>
      <c r="CA170" s="214"/>
      <c r="CB170" s="214"/>
      <c r="CC170" s="214"/>
      <c r="CD170" s="214"/>
      <c r="CE170" s="214"/>
      <c r="CF170" s="214"/>
      <c r="CG170" s="214"/>
      <c r="CH170" s="214"/>
      <c r="CI170" s="214"/>
      <c r="CJ170" s="225">
        <v>49285</v>
      </c>
    </row>
    <row r="171" spans="1:88" ht="45" customHeight="1">
      <c r="A171" s="221" t="s">
        <v>578</v>
      </c>
      <c r="B171" s="212"/>
      <c r="C171" s="213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4"/>
      <c r="AO171" s="214"/>
      <c r="AP171" s="214"/>
      <c r="AQ171" s="213"/>
      <c r="AR171" s="213"/>
      <c r="AS171" s="225"/>
      <c r="AT171" s="214"/>
      <c r="AU171" s="214"/>
      <c r="AV171" s="214"/>
      <c r="AW171" s="214"/>
      <c r="AX171" s="214"/>
      <c r="AY171" s="214"/>
      <c r="AZ171" s="214"/>
      <c r="BA171" s="214"/>
      <c r="BB171" s="214"/>
      <c r="BC171" s="214"/>
      <c r="BD171" s="214"/>
      <c r="BE171" s="214"/>
      <c r="BF171" s="214"/>
      <c r="BG171" s="214"/>
      <c r="BH171" s="214"/>
      <c r="BI171" s="214"/>
      <c r="BJ171" s="214"/>
      <c r="BK171" s="214"/>
      <c r="BL171" s="214"/>
      <c r="BM171" s="214"/>
      <c r="BN171" s="214"/>
      <c r="BO171" s="214"/>
      <c r="BP171" s="214"/>
      <c r="BQ171" s="214"/>
      <c r="BR171" s="214"/>
      <c r="BS171" s="214"/>
      <c r="BT171" s="214"/>
      <c r="BU171" s="214"/>
      <c r="BV171" s="214"/>
      <c r="BW171" s="214"/>
      <c r="BX171" s="214"/>
      <c r="BY171" s="214"/>
      <c r="BZ171" s="214"/>
      <c r="CA171" s="214"/>
      <c r="CB171" s="214"/>
      <c r="CC171" s="214"/>
      <c r="CD171" s="214"/>
      <c r="CE171" s="214"/>
      <c r="CF171" s="214"/>
      <c r="CG171" s="214"/>
      <c r="CH171" s="214"/>
      <c r="CI171" s="214"/>
      <c r="CJ171" s="225">
        <v>-9754</v>
      </c>
    </row>
    <row r="172" spans="1:88" ht="44.25" customHeight="1">
      <c r="A172" s="221" t="s">
        <v>579</v>
      </c>
      <c r="B172" s="212"/>
      <c r="C172" s="213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214"/>
      <c r="AN172" s="214"/>
      <c r="AO172" s="214"/>
      <c r="AP172" s="214"/>
      <c r="AQ172" s="213"/>
      <c r="AR172" s="213"/>
      <c r="AS172" s="225"/>
      <c r="AT172" s="214"/>
      <c r="AU172" s="214"/>
      <c r="AV172" s="214"/>
      <c r="AW172" s="214"/>
      <c r="AX172" s="214"/>
      <c r="AY172" s="214"/>
      <c r="AZ172" s="214"/>
      <c r="BA172" s="214"/>
      <c r="BB172" s="214"/>
      <c r="BC172" s="214"/>
      <c r="BD172" s="214"/>
      <c r="BE172" s="214"/>
      <c r="BF172" s="214"/>
      <c r="BG172" s="214"/>
      <c r="BH172" s="214"/>
      <c r="BI172" s="214"/>
      <c r="BJ172" s="214"/>
      <c r="BK172" s="214"/>
      <c r="BL172" s="214"/>
      <c r="BM172" s="214"/>
      <c r="BN172" s="214"/>
      <c r="BO172" s="214"/>
      <c r="BP172" s="214"/>
      <c r="BQ172" s="214"/>
      <c r="BR172" s="214"/>
      <c r="BS172" s="214"/>
      <c r="BT172" s="214"/>
      <c r="BU172" s="214"/>
      <c r="BV172" s="214"/>
      <c r="BW172" s="214"/>
      <c r="BX172" s="214"/>
      <c r="BY172" s="214"/>
      <c r="BZ172" s="214"/>
      <c r="CA172" s="214"/>
      <c r="CB172" s="214"/>
      <c r="CC172" s="214"/>
      <c r="CD172" s="214"/>
      <c r="CE172" s="214"/>
      <c r="CF172" s="214"/>
      <c r="CG172" s="214"/>
      <c r="CH172" s="214"/>
      <c r="CI172" s="214"/>
      <c r="CJ172" s="225"/>
    </row>
    <row r="173" spans="1:88" ht="36" customHeight="1">
      <c r="A173" s="221" t="s">
        <v>580</v>
      </c>
      <c r="B173" s="212"/>
      <c r="C173" s="213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3"/>
      <c r="AR173" s="213"/>
      <c r="AS173" s="225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4"/>
      <c r="BF173" s="214"/>
      <c r="BG173" s="214"/>
      <c r="BH173" s="214"/>
      <c r="BI173" s="214"/>
      <c r="BJ173" s="214"/>
      <c r="BK173" s="214"/>
      <c r="BL173" s="214"/>
      <c r="BM173" s="214"/>
      <c r="BN173" s="214"/>
      <c r="BO173" s="214"/>
      <c r="BP173" s="214"/>
      <c r="BQ173" s="214"/>
      <c r="BR173" s="214"/>
      <c r="BS173" s="214"/>
      <c r="BT173" s="214"/>
      <c r="BU173" s="214"/>
      <c r="BV173" s="214"/>
      <c r="BW173" s="214"/>
      <c r="BX173" s="214"/>
      <c r="BY173" s="214"/>
      <c r="BZ173" s="214"/>
      <c r="CA173" s="214"/>
      <c r="CB173" s="214"/>
      <c r="CC173" s="214"/>
      <c r="CD173" s="214"/>
      <c r="CE173" s="214"/>
      <c r="CF173" s="214"/>
      <c r="CG173" s="214"/>
      <c r="CH173" s="214"/>
      <c r="CI173" s="214"/>
      <c r="CJ173" s="225"/>
    </row>
    <row r="174" spans="1:88" ht="42" customHeight="1">
      <c r="A174" s="221" t="s">
        <v>581</v>
      </c>
      <c r="B174" s="212"/>
      <c r="C174" s="213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/>
      <c r="AG174" s="214"/>
      <c r="AH174" s="214"/>
      <c r="AI174" s="214"/>
      <c r="AJ174" s="214"/>
      <c r="AK174" s="214"/>
      <c r="AL174" s="214"/>
      <c r="AM174" s="214"/>
      <c r="AN174" s="214"/>
      <c r="AO174" s="214"/>
      <c r="AP174" s="214"/>
      <c r="AQ174" s="213"/>
      <c r="AR174" s="213"/>
      <c r="AS174" s="225"/>
      <c r="AT174" s="214"/>
      <c r="AU174" s="214"/>
      <c r="AV174" s="214"/>
      <c r="AW174" s="214"/>
      <c r="AX174" s="214"/>
      <c r="AY174" s="214"/>
      <c r="AZ174" s="214"/>
      <c r="BA174" s="214"/>
      <c r="BB174" s="214"/>
      <c r="BC174" s="214"/>
      <c r="BD174" s="214"/>
      <c r="BE174" s="214"/>
      <c r="BF174" s="214"/>
      <c r="BG174" s="214"/>
      <c r="BH174" s="214"/>
      <c r="BI174" s="214"/>
      <c r="BJ174" s="214"/>
      <c r="BK174" s="214"/>
      <c r="BL174" s="214"/>
      <c r="BM174" s="214"/>
      <c r="BN174" s="214"/>
      <c r="BO174" s="214"/>
      <c r="BP174" s="214"/>
      <c r="BQ174" s="214"/>
      <c r="BR174" s="214"/>
      <c r="BS174" s="214"/>
      <c r="BT174" s="214"/>
      <c r="BU174" s="214"/>
      <c r="BV174" s="214"/>
      <c r="BW174" s="214"/>
      <c r="BX174" s="214"/>
      <c r="BY174" s="214"/>
      <c r="BZ174" s="214"/>
      <c r="CA174" s="214"/>
      <c r="CB174" s="214"/>
      <c r="CC174" s="214"/>
      <c r="CD174" s="214"/>
      <c r="CE174" s="214"/>
      <c r="CF174" s="214"/>
      <c r="CG174" s="214"/>
      <c r="CH174" s="214"/>
      <c r="CI174" s="214"/>
      <c r="CJ174" s="225">
        <v>-451</v>
      </c>
    </row>
    <row r="175" spans="1:88" ht="47.25" customHeight="1">
      <c r="A175" s="211" t="s">
        <v>582</v>
      </c>
      <c r="B175" s="212"/>
      <c r="C175" s="213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4"/>
      <c r="V175" s="214"/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/>
      <c r="AG175" s="214"/>
      <c r="AH175" s="214"/>
      <c r="AI175" s="214"/>
      <c r="AJ175" s="214"/>
      <c r="AK175" s="214"/>
      <c r="AL175" s="214"/>
      <c r="AM175" s="214"/>
      <c r="AN175" s="214"/>
      <c r="AO175" s="214"/>
      <c r="AP175" s="214"/>
      <c r="AQ175" s="213"/>
      <c r="AR175" s="213"/>
      <c r="AS175" s="217"/>
      <c r="AT175" s="214"/>
      <c r="AU175" s="214"/>
      <c r="AV175" s="214"/>
      <c r="AW175" s="214"/>
      <c r="AX175" s="214"/>
      <c r="AY175" s="214"/>
      <c r="AZ175" s="214"/>
      <c r="BA175" s="214"/>
      <c r="BB175" s="214"/>
      <c r="BC175" s="214"/>
      <c r="BD175" s="214"/>
      <c r="BE175" s="214"/>
      <c r="BF175" s="214"/>
      <c r="BG175" s="214"/>
      <c r="BH175" s="214"/>
      <c r="BI175" s="214"/>
      <c r="BJ175" s="214"/>
      <c r="BK175" s="214"/>
      <c r="BL175" s="214"/>
      <c r="BM175" s="214"/>
      <c r="BN175" s="214"/>
      <c r="BO175" s="214"/>
      <c r="BP175" s="214"/>
      <c r="BQ175" s="214"/>
      <c r="BR175" s="214"/>
      <c r="BS175" s="214"/>
      <c r="BT175" s="214"/>
      <c r="BU175" s="214"/>
      <c r="BV175" s="214"/>
      <c r="BW175" s="214"/>
      <c r="BX175" s="214"/>
      <c r="BY175" s="214"/>
      <c r="BZ175" s="214"/>
      <c r="CA175" s="214"/>
      <c r="CB175" s="214"/>
      <c r="CC175" s="214"/>
      <c r="CD175" s="214"/>
      <c r="CE175" s="214"/>
      <c r="CF175" s="214"/>
      <c r="CG175" s="214"/>
      <c r="CH175" s="214"/>
      <c r="CI175" s="214"/>
      <c r="CJ175" s="222">
        <v>905058</v>
      </c>
    </row>
    <row r="176" spans="1:88" ht="33" customHeight="1">
      <c r="A176" s="221" t="s">
        <v>583</v>
      </c>
      <c r="B176" s="212"/>
      <c r="C176" s="213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4"/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/>
      <c r="AG176" s="214"/>
      <c r="AH176" s="214"/>
      <c r="AI176" s="214"/>
      <c r="AJ176" s="214"/>
      <c r="AK176" s="214"/>
      <c r="AL176" s="214"/>
      <c r="AM176" s="214"/>
      <c r="AN176" s="214"/>
      <c r="AO176" s="214"/>
      <c r="AP176" s="214"/>
      <c r="AQ176" s="213"/>
      <c r="AR176" s="213"/>
      <c r="AS176" s="225"/>
      <c r="AT176" s="214"/>
      <c r="AU176" s="214"/>
      <c r="AV176" s="214"/>
      <c r="AW176" s="214"/>
      <c r="AX176" s="214"/>
      <c r="AY176" s="214"/>
      <c r="AZ176" s="214"/>
      <c r="BA176" s="214"/>
      <c r="BB176" s="214"/>
      <c r="BC176" s="214"/>
      <c r="BD176" s="214"/>
      <c r="BE176" s="214"/>
      <c r="BF176" s="214"/>
      <c r="BG176" s="214"/>
      <c r="BH176" s="214"/>
      <c r="BI176" s="214"/>
      <c r="BJ176" s="214"/>
      <c r="BK176" s="214"/>
      <c r="BL176" s="214"/>
      <c r="BM176" s="214"/>
      <c r="BN176" s="214"/>
      <c r="BO176" s="214"/>
      <c r="BP176" s="214"/>
      <c r="BQ176" s="214"/>
      <c r="BR176" s="214"/>
      <c r="BS176" s="214"/>
      <c r="BT176" s="214"/>
      <c r="BU176" s="214"/>
      <c r="BV176" s="214"/>
      <c r="BW176" s="214"/>
      <c r="BX176" s="214"/>
      <c r="BY176" s="214"/>
      <c r="BZ176" s="214"/>
      <c r="CA176" s="214"/>
      <c r="CB176" s="214"/>
      <c r="CC176" s="214"/>
      <c r="CD176" s="214"/>
      <c r="CE176" s="214"/>
      <c r="CF176" s="214"/>
      <c r="CG176" s="214"/>
      <c r="CH176" s="214"/>
      <c r="CI176" s="214"/>
      <c r="CJ176" s="225">
        <v>-22406</v>
      </c>
    </row>
    <row r="177" spans="1:88" ht="33.75" customHeight="1">
      <c r="A177" s="221" t="s">
        <v>584</v>
      </c>
      <c r="B177" s="212"/>
      <c r="C177" s="213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4"/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/>
      <c r="AG177" s="214"/>
      <c r="AH177" s="214"/>
      <c r="AI177" s="214"/>
      <c r="AJ177" s="214"/>
      <c r="AK177" s="214"/>
      <c r="AL177" s="214"/>
      <c r="AM177" s="214"/>
      <c r="AN177" s="214"/>
      <c r="AO177" s="214"/>
      <c r="AP177" s="214"/>
      <c r="AQ177" s="213"/>
      <c r="AR177" s="213"/>
      <c r="AS177" s="225"/>
      <c r="AT177" s="214"/>
      <c r="AU177" s="214"/>
      <c r="AV177" s="214"/>
      <c r="AW177" s="214"/>
      <c r="AX177" s="214"/>
      <c r="AY177" s="214"/>
      <c r="AZ177" s="214"/>
      <c r="BA177" s="214"/>
      <c r="BB177" s="214"/>
      <c r="BC177" s="214"/>
      <c r="BD177" s="214"/>
      <c r="BE177" s="214"/>
      <c r="BF177" s="214"/>
      <c r="BG177" s="214"/>
      <c r="BH177" s="214"/>
      <c r="BI177" s="214"/>
      <c r="BJ177" s="214"/>
      <c r="BK177" s="214"/>
      <c r="BL177" s="214"/>
      <c r="BM177" s="214"/>
      <c r="BN177" s="214"/>
      <c r="BO177" s="214"/>
      <c r="BP177" s="214"/>
      <c r="BQ177" s="214"/>
      <c r="BR177" s="214"/>
      <c r="BS177" s="214"/>
      <c r="BT177" s="214"/>
      <c r="BU177" s="214"/>
      <c r="BV177" s="214"/>
      <c r="BW177" s="214"/>
      <c r="BX177" s="214"/>
      <c r="BY177" s="214"/>
      <c r="BZ177" s="214"/>
      <c r="CA177" s="214"/>
      <c r="CB177" s="214"/>
      <c r="CC177" s="214"/>
      <c r="CD177" s="214"/>
      <c r="CE177" s="214"/>
      <c r="CF177" s="214"/>
      <c r="CG177" s="214"/>
      <c r="CH177" s="214"/>
      <c r="CI177" s="214"/>
      <c r="CJ177" s="225">
        <v>-186409</v>
      </c>
    </row>
    <row r="178" spans="1:88" ht="30.75" customHeight="1">
      <c r="A178" s="221" t="s">
        <v>585</v>
      </c>
      <c r="B178" s="212"/>
      <c r="C178" s="213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3"/>
      <c r="AR178" s="213"/>
      <c r="AS178" s="225"/>
      <c r="AT178" s="213"/>
      <c r="AU178" s="213"/>
      <c r="AV178" s="213"/>
      <c r="AW178" s="213"/>
      <c r="AX178" s="213"/>
      <c r="AY178" s="213"/>
      <c r="AZ178" s="213"/>
      <c r="BA178" s="213"/>
      <c r="BB178" s="213"/>
      <c r="BC178" s="213"/>
      <c r="BD178" s="213"/>
      <c r="BE178" s="213"/>
      <c r="BF178" s="213"/>
      <c r="BG178" s="213"/>
      <c r="BH178" s="213"/>
      <c r="BI178" s="213"/>
      <c r="BJ178" s="213"/>
      <c r="BK178" s="213"/>
      <c r="BL178" s="213"/>
      <c r="BM178" s="213"/>
      <c r="BN178" s="213"/>
      <c r="BO178" s="213"/>
      <c r="BP178" s="213"/>
      <c r="BQ178" s="213"/>
      <c r="BR178" s="213"/>
      <c r="BS178" s="213"/>
      <c r="BT178" s="213"/>
      <c r="BU178" s="213"/>
      <c r="BV178" s="213"/>
      <c r="BW178" s="213"/>
      <c r="BX178" s="213"/>
      <c r="BY178" s="213"/>
      <c r="BZ178" s="213"/>
      <c r="CA178" s="213"/>
      <c r="CB178" s="213"/>
      <c r="CC178" s="213"/>
      <c r="CD178" s="213"/>
      <c r="CE178" s="213"/>
      <c r="CF178" s="213"/>
      <c r="CG178" s="213"/>
      <c r="CH178" s="213"/>
      <c r="CI178" s="213"/>
      <c r="CJ178" s="222"/>
    </row>
    <row r="179" spans="1:88" ht="30" customHeight="1">
      <c r="A179" s="221" t="s">
        <v>586</v>
      </c>
      <c r="B179" s="212"/>
      <c r="C179" s="213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4"/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/>
      <c r="AF179" s="214"/>
      <c r="AG179" s="214"/>
      <c r="AH179" s="214"/>
      <c r="AI179" s="214"/>
      <c r="AJ179" s="214"/>
      <c r="AK179" s="214"/>
      <c r="AL179" s="214"/>
      <c r="AM179" s="214"/>
      <c r="AN179" s="214"/>
      <c r="AO179" s="214"/>
      <c r="AP179" s="214"/>
      <c r="AQ179" s="213"/>
      <c r="AR179" s="213"/>
      <c r="AS179" s="222"/>
      <c r="AT179" s="213"/>
      <c r="AU179" s="213"/>
      <c r="AV179" s="213"/>
      <c r="AW179" s="213"/>
      <c r="AX179" s="213"/>
      <c r="AY179" s="213"/>
      <c r="AZ179" s="213"/>
      <c r="BA179" s="213"/>
      <c r="BB179" s="213"/>
      <c r="BC179" s="213"/>
      <c r="BD179" s="213"/>
      <c r="BE179" s="213"/>
      <c r="BF179" s="213"/>
      <c r="BG179" s="213"/>
      <c r="BH179" s="213"/>
      <c r="BI179" s="213"/>
      <c r="BJ179" s="213"/>
      <c r="BK179" s="213"/>
      <c r="BL179" s="213"/>
      <c r="BM179" s="213"/>
      <c r="BN179" s="213"/>
      <c r="BO179" s="213"/>
      <c r="BP179" s="213"/>
      <c r="BQ179" s="213"/>
      <c r="BR179" s="213"/>
      <c r="BS179" s="213"/>
      <c r="BT179" s="213"/>
      <c r="BU179" s="213"/>
      <c r="BV179" s="213"/>
      <c r="BW179" s="213"/>
      <c r="BX179" s="213"/>
      <c r="BY179" s="213"/>
      <c r="BZ179" s="213"/>
      <c r="CA179" s="213"/>
      <c r="CB179" s="213"/>
      <c r="CC179" s="213"/>
      <c r="CD179" s="213"/>
      <c r="CE179" s="213"/>
      <c r="CF179" s="213"/>
      <c r="CG179" s="213"/>
      <c r="CH179" s="213"/>
      <c r="CI179" s="213"/>
      <c r="CJ179" s="222">
        <v>0</v>
      </c>
    </row>
    <row r="180" spans="1:88" ht="40.5" customHeight="1">
      <c r="A180" s="211" t="s">
        <v>587</v>
      </c>
      <c r="B180" s="212"/>
      <c r="C180" s="213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4"/>
      <c r="V180" s="214"/>
      <c r="W180" s="214"/>
      <c r="X180" s="214"/>
      <c r="Y180" s="214"/>
      <c r="Z180" s="214"/>
      <c r="AA180" s="214"/>
      <c r="AB180" s="214"/>
      <c r="AC180" s="214"/>
      <c r="AD180" s="214"/>
      <c r="AE180" s="214"/>
      <c r="AF180" s="214"/>
      <c r="AG180" s="214"/>
      <c r="AH180" s="214"/>
      <c r="AI180" s="214"/>
      <c r="AJ180" s="214"/>
      <c r="AK180" s="214"/>
      <c r="AL180" s="214"/>
      <c r="AM180" s="214"/>
      <c r="AN180" s="214"/>
      <c r="AO180" s="214"/>
      <c r="AP180" s="214"/>
      <c r="AQ180" s="213"/>
      <c r="AR180" s="213"/>
      <c r="AS180" s="215"/>
      <c r="AT180" s="213"/>
      <c r="AU180" s="213"/>
      <c r="AV180" s="213"/>
      <c r="AW180" s="213"/>
      <c r="AX180" s="213"/>
      <c r="AY180" s="213"/>
      <c r="AZ180" s="213"/>
      <c r="BA180" s="213"/>
      <c r="BB180" s="213"/>
      <c r="BC180" s="213"/>
      <c r="BD180" s="213"/>
      <c r="BE180" s="213"/>
      <c r="BF180" s="213"/>
      <c r="BG180" s="213"/>
      <c r="BH180" s="213"/>
      <c r="BI180" s="213"/>
      <c r="BJ180" s="213"/>
      <c r="BK180" s="213"/>
      <c r="BL180" s="213"/>
      <c r="BM180" s="213"/>
      <c r="BN180" s="213"/>
      <c r="BO180" s="213"/>
      <c r="BP180" s="213"/>
      <c r="BQ180" s="213"/>
      <c r="BR180" s="213"/>
      <c r="BS180" s="213"/>
      <c r="BT180" s="213"/>
      <c r="BU180" s="213"/>
      <c r="BV180" s="213"/>
      <c r="BW180" s="213"/>
      <c r="BX180" s="213"/>
      <c r="BY180" s="213"/>
      <c r="BZ180" s="213"/>
      <c r="CA180" s="213"/>
      <c r="CB180" s="213"/>
      <c r="CC180" s="213"/>
      <c r="CD180" s="213"/>
      <c r="CE180" s="213"/>
      <c r="CF180" s="213"/>
      <c r="CG180" s="213"/>
      <c r="CH180" s="213"/>
      <c r="CI180" s="213"/>
      <c r="CJ180" s="216">
        <f>+SUM(CJ175:CJ179)</f>
        <v>696243</v>
      </c>
    </row>
    <row r="181" ht="12">
      <c r="A181" s="146"/>
    </row>
    <row r="182" spans="1:88" ht="12">
      <c r="A182" s="227" t="s">
        <v>555</v>
      </c>
      <c r="B182" s="201"/>
      <c r="C182" s="201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  <c r="AA182" s="202"/>
      <c r="AB182" s="202"/>
      <c r="AC182" s="202"/>
      <c r="AD182" s="202"/>
      <c r="AE182" s="202"/>
      <c r="AF182" s="202"/>
      <c r="AG182" s="202"/>
      <c r="AH182" s="202"/>
      <c r="AI182" s="202"/>
      <c r="AJ182" s="202"/>
      <c r="AK182" s="202"/>
      <c r="AL182" s="202"/>
      <c r="AM182" s="202"/>
      <c r="AN182" s="202"/>
      <c r="AO182" s="202"/>
      <c r="AP182" s="202"/>
      <c r="AQ182" s="201"/>
      <c r="AR182" s="201"/>
      <c r="AS182" s="201"/>
      <c r="AT182" s="201"/>
      <c r="AU182" s="201"/>
      <c r="AV182" s="201"/>
      <c r="AW182" s="201"/>
      <c r="AX182" s="201"/>
      <c r="AY182" s="201"/>
      <c r="AZ182" s="201"/>
      <c r="BA182" s="201"/>
      <c r="BB182" s="201"/>
      <c r="BC182" s="201"/>
      <c r="BD182" s="201"/>
      <c r="BE182" s="201"/>
      <c r="BF182" s="201"/>
      <c r="BG182" s="201"/>
      <c r="BH182" s="201"/>
      <c r="BI182" s="201"/>
      <c r="BJ182" s="201"/>
      <c r="BK182" s="201"/>
      <c r="BL182" s="201"/>
      <c r="BM182" s="201"/>
      <c r="BN182" s="201"/>
      <c r="BO182" s="201"/>
      <c r="BP182" s="201"/>
      <c r="BQ182" s="201"/>
      <c r="BR182" s="201"/>
      <c r="BS182" s="201"/>
      <c r="BT182" s="201"/>
      <c r="BU182" s="201"/>
      <c r="BV182" s="201"/>
      <c r="BW182" s="201"/>
      <c r="BX182" s="201"/>
      <c r="BY182" s="201"/>
      <c r="BZ182" s="201"/>
      <c r="CA182" s="201"/>
      <c r="CB182" s="201"/>
      <c r="CC182" s="201"/>
      <c r="CD182" s="201"/>
      <c r="CE182" s="201"/>
      <c r="CF182" s="201"/>
      <c r="CG182" s="201"/>
      <c r="CH182" s="201"/>
      <c r="CI182" s="201"/>
      <c r="CJ182" s="201"/>
    </row>
    <row r="183" spans="1:88" ht="12">
      <c r="A183" s="227"/>
      <c r="B183" s="201"/>
      <c r="C183" s="201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  <c r="AA183" s="202"/>
      <c r="AB183" s="202"/>
      <c r="AC183" s="202"/>
      <c r="AD183" s="202"/>
      <c r="AE183" s="202"/>
      <c r="AF183" s="202"/>
      <c r="AG183" s="202"/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1"/>
      <c r="AR183" s="201"/>
      <c r="AS183" s="201"/>
      <c r="AT183" s="201"/>
      <c r="AU183" s="201"/>
      <c r="AV183" s="201"/>
      <c r="AW183" s="201"/>
      <c r="AX183" s="201"/>
      <c r="AY183" s="201"/>
      <c r="AZ183" s="201"/>
      <c r="BA183" s="201"/>
      <c r="BB183" s="201"/>
      <c r="BC183" s="201"/>
      <c r="BD183" s="201"/>
      <c r="BE183" s="201"/>
      <c r="BF183" s="201"/>
      <c r="BG183" s="201"/>
      <c r="BH183" s="201"/>
      <c r="BI183" s="201"/>
      <c r="BJ183" s="201"/>
      <c r="BK183" s="201"/>
      <c r="BL183" s="201"/>
      <c r="BM183" s="201"/>
      <c r="BN183" s="201"/>
      <c r="BO183" s="201"/>
      <c r="BP183" s="201"/>
      <c r="BQ183" s="201"/>
      <c r="BR183" s="201"/>
      <c r="BS183" s="201"/>
      <c r="BT183" s="201"/>
      <c r="BU183" s="201"/>
      <c r="BV183" s="201"/>
      <c r="BW183" s="201"/>
      <c r="BX183" s="201"/>
      <c r="BY183" s="201"/>
      <c r="BZ183" s="201"/>
      <c r="CA183" s="201"/>
      <c r="CB183" s="201"/>
      <c r="CC183" s="201"/>
      <c r="CD183" s="201"/>
      <c r="CE183" s="201"/>
      <c r="CF183" s="201"/>
      <c r="CG183" s="201"/>
      <c r="CH183" s="201"/>
      <c r="CI183" s="201"/>
      <c r="CJ183" s="201"/>
    </row>
    <row r="184" spans="1:123" s="235" customFormat="1" ht="12.75">
      <c r="A184" s="228"/>
      <c r="B184" s="229"/>
      <c r="C184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/>
      <c r="AR184"/>
      <c r="AS184" s="231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 s="232"/>
      <c r="CL184" s="233"/>
      <c r="CM184" s="234"/>
      <c r="CN184" s="146"/>
      <c r="CO184" s="234"/>
      <c r="CP184" s="234"/>
      <c r="CQ184" s="234"/>
      <c r="CR184" s="234"/>
      <c r="CS184" s="234"/>
      <c r="CT184" s="234"/>
      <c r="CU184" s="234"/>
      <c r="CV184" s="234"/>
      <c r="CW184" s="234"/>
      <c r="CX184" s="234"/>
      <c r="CY184" s="234"/>
      <c r="CZ184" s="23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</row>
    <row r="185" spans="1:123" s="235" customFormat="1" ht="12.75">
      <c r="A185" s="228"/>
      <c r="B185" s="229"/>
      <c r="C185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30"/>
      <c r="AO185" s="230"/>
      <c r="AP185" s="230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 s="232"/>
      <c r="CL185" s="233"/>
      <c r="CM185" s="234"/>
      <c r="CN185" s="146"/>
      <c r="CO185" s="234"/>
      <c r="CP185" s="234"/>
      <c r="CQ185" s="234"/>
      <c r="CR185" s="234"/>
      <c r="CS185" s="234"/>
      <c r="CT185" s="234"/>
      <c r="CU185" s="234"/>
      <c r="CV185" s="234"/>
      <c r="CW185" s="234"/>
      <c r="CX185" s="234"/>
      <c r="CY185" s="234"/>
      <c r="CZ185" s="234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</row>
    <row r="186" spans="1:123" s="235" customFormat="1" ht="12.75">
      <c r="A186" s="228"/>
      <c r="B186" s="229"/>
      <c r="C186"/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  <c r="AF186" s="230"/>
      <c r="AG186" s="230"/>
      <c r="AH186" s="230"/>
      <c r="AI186" s="230"/>
      <c r="AJ186" s="230"/>
      <c r="AK186" s="230"/>
      <c r="AL186" s="230"/>
      <c r="AM186" s="230"/>
      <c r="AN186" s="230"/>
      <c r="AO186" s="230"/>
      <c r="AP186" s="230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 s="232"/>
      <c r="CL186" s="233"/>
      <c r="CM186" s="234"/>
      <c r="CN186" s="234"/>
      <c r="CO186" s="234"/>
      <c r="CP186" s="234"/>
      <c r="CQ186" s="234"/>
      <c r="CR186" s="234"/>
      <c r="CS186" s="234"/>
      <c r="CT186" s="234"/>
      <c r="CU186" s="234"/>
      <c r="CV186" s="234"/>
      <c r="CW186" s="234"/>
      <c r="CX186" s="234"/>
      <c r="CY186" s="234"/>
      <c r="CZ186" s="234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</row>
    <row r="187" spans="1:92" ht="12.75">
      <c r="A187" s="134"/>
      <c r="CN187" s="234"/>
    </row>
    <row r="188" spans="1:92" ht="12.75">
      <c r="A188" s="228"/>
      <c r="CN188" s="234"/>
    </row>
    <row r="190" ht="12.75">
      <c r="CL190" s="236">
        <v>145953431.42</v>
      </c>
    </row>
    <row r="191" ht="12.75">
      <c r="CL191" s="236">
        <f>78550797.84+42751</f>
        <v>78593548.84</v>
      </c>
    </row>
    <row r="192" ht="12.75">
      <c r="CL192" s="236">
        <v>660364856.27</v>
      </c>
    </row>
    <row r="193" spans="1:90" ht="12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6"/>
      <c r="AV193" s="146"/>
      <c r="AW193" s="146"/>
      <c r="AX193" s="146"/>
      <c r="AY193" s="146"/>
      <c r="AZ193" s="146"/>
      <c r="BA193" s="146"/>
      <c r="BB193" s="146"/>
      <c r="BC193" s="146"/>
      <c r="BD193" s="146"/>
      <c r="BE193" s="146"/>
      <c r="BF193" s="146"/>
      <c r="BG193" s="146"/>
      <c r="BH193" s="146"/>
      <c r="BI193" s="146"/>
      <c r="BJ193" s="146"/>
      <c r="BK193" s="146"/>
      <c r="BL193" s="146"/>
      <c r="BM193" s="146"/>
      <c r="BN193" s="146"/>
      <c r="BO193" s="146"/>
      <c r="BP193" s="146"/>
      <c r="BQ193" s="146"/>
      <c r="BR193" s="146"/>
      <c r="BS193" s="146"/>
      <c r="BT193" s="146"/>
      <c r="BU193" s="146"/>
      <c r="BV193" s="146"/>
      <c r="BW193" s="146"/>
      <c r="BX193" s="146"/>
      <c r="BY193" s="146"/>
      <c r="BZ193" s="146"/>
      <c r="CA193" s="146"/>
      <c r="CB193" s="146"/>
      <c r="CC193" s="146"/>
      <c r="CD193" s="146"/>
      <c r="CE193" s="146"/>
      <c r="CF193" s="146"/>
      <c r="CG193" s="146"/>
      <c r="CH193" s="146"/>
      <c r="CI193" s="146"/>
      <c r="CJ193" s="146"/>
      <c r="CK193" s="146"/>
      <c r="CL193" s="236">
        <v>128295550</v>
      </c>
    </row>
    <row r="194" spans="1:90" ht="12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6"/>
      <c r="AV194" s="146"/>
      <c r="AW194" s="146"/>
      <c r="AX194" s="146"/>
      <c r="AY194" s="146"/>
      <c r="AZ194" s="146"/>
      <c r="BA194" s="146"/>
      <c r="BB194" s="146"/>
      <c r="BC194" s="146"/>
      <c r="BD194" s="146"/>
      <c r="BE194" s="146"/>
      <c r="BF194" s="146"/>
      <c r="BG194" s="146"/>
      <c r="BH194" s="146"/>
      <c r="BI194" s="146"/>
      <c r="BJ194" s="146"/>
      <c r="BK194" s="146"/>
      <c r="BL194" s="146"/>
      <c r="BM194" s="146"/>
      <c r="BN194" s="146"/>
      <c r="BO194" s="146"/>
      <c r="BP194" s="146"/>
      <c r="BQ194" s="146"/>
      <c r="BR194" s="146"/>
      <c r="BS194" s="146"/>
      <c r="BT194" s="146"/>
      <c r="BU194" s="146"/>
      <c r="BV194" s="146"/>
      <c r="BW194" s="146"/>
      <c r="BX194" s="146"/>
      <c r="BY194" s="146"/>
      <c r="BZ194" s="146"/>
      <c r="CA194" s="146"/>
      <c r="CB194" s="146"/>
      <c r="CC194" s="146"/>
      <c r="CD194" s="146"/>
      <c r="CE194" s="146"/>
      <c r="CF194" s="146"/>
      <c r="CG194" s="146"/>
      <c r="CH194" s="146"/>
      <c r="CI194" s="146"/>
      <c r="CJ194" s="146"/>
      <c r="CK194" s="146"/>
      <c r="CL194" s="236">
        <v>796460139.47</v>
      </c>
    </row>
    <row r="195" spans="1:90" ht="12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6"/>
      <c r="AV195" s="146"/>
      <c r="AW195" s="146"/>
      <c r="AX195" s="146"/>
      <c r="AY195" s="146"/>
      <c r="AZ195" s="146"/>
      <c r="BA195" s="146"/>
      <c r="BB195" s="146"/>
      <c r="BC195" s="146"/>
      <c r="BD195" s="146"/>
      <c r="BE195" s="146"/>
      <c r="BF195" s="146"/>
      <c r="BG195" s="146"/>
      <c r="BH195" s="146"/>
      <c r="BI195" s="146"/>
      <c r="BJ195" s="146"/>
      <c r="BK195" s="146"/>
      <c r="BL195" s="146"/>
      <c r="BM195" s="146"/>
      <c r="BN195" s="146"/>
      <c r="BO195" s="146"/>
      <c r="BP195" s="146"/>
      <c r="BQ195" s="146"/>
      <c r="BR195" s="146"/>
      <c r="BS195" s="146"/>
      <c r="BT195" s="146"/>
      <c r="BU195" s="146"/>
      <c r="BV195" s="146"/>
      <c r="BW195" s="146"/>
      <c r="BX195" s="146"/>
      <c r="BY195" s="146"/>
      <c r="BZ195" s="146"/>
      <c r="CA195" s="146"/>
      <c r="CB195" s="146"/>
      <c r="CC195" s="146"/>
      <c r="CD195" s="146"/>
      <c r="CE195" s="146"/>
      <c r="CF195" s="146"/>
      <c r="CG195" s="146"/>
      <c r="CH195" s="146"/>
      <c r="CI195" s="146"/>
      <c r="CJ195" s="146"/>
      <c r="CK195" s="146"/>
      <c r="CL195" s="236">
        <v>126408800</v>
      </c>
    </row>
    <row r="196" spans="1:90" ht="12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146"/>
      <c r="BF196" s="146"/>
      <c r="BG196" s="146"/>
      <c r="BH196" s="146"/>
      <c r="BI196" s="146"/>
      <c r="BJ196" s="146"/>
      <c r="BK196" s="146"/>
      <c r="BL196" s="146"/>
      <c r="BM196" s="146"/>
      <c r="BN196" s="146"/>
      <c r="BO196" s="146"/>
      <c r="BP196" s="146"/>
      <c r="BQ196" s="146"/>
      <c r="BR196" s="146"/>
      <c r="BS196" s="146"/>
      <c r="BT196" s="146"/>
      <c r="BU196" s="146"/>
      <c r="BV196" s="146"/>
      <c r="BW196" s="146"/>
      <c r="BX196" s="146"/>
      <c r="BY196" s="146"/>
      <c r="BZ196" s="146"/>
      <c r="CA196" s="146"/>
      <c r="CB196" s="146"/>
      <c r="CC196" s="146"/>
      <c r="CD196" s="146"/>
      <c r="CE196" s="146"/>
      <c r="CF196" s="146"/>
      <c r="CG196" s="146"/>
      <c r="CH196" s="146"/>
      <c r="CI196" s="146"/>
      <c r="CJ196" s="146"/>
      <c r="CK196" s="146"/>
      <c r="CL196" s="236">
        <v>254413924.4</v>
      </c>
    </row>
    <row r="197" spans="1:90" ht="12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146"/>
      <c r="BI197" s="146"/>
      <c r="BJ197" s="146"/>
      <c r="BK197" s="146"/>
      <c r="BL197" s="146"/>
      <c r="BM197" s="146"/>
      <c r="BN197" s="146"/>
      <c r="BO197" s="146"/>
      <c r="BP197" s="146"/>
      <c r="BQ197" s="146"/>
      <c r="BR197" s="146"/>
      <c r="BS197" s="146"/>
      <c r="BT197" s="146"/>
      <c r="BU197" s="146"/>
      <c r="BV197" s="146"/>
      <c r="BW197" s="146"/>
      <c r="BX197" s="146"/>
      <c r="BY197" s="146"/>
      <c r="BZ197" s="146"/>
      <c r="CA197" s="146"/>
      <c r="CB197" s="146"/>
      <c r="CC197" s="146"/>
      <c r="CD197" s="146"/>
      <c r="CE197" s="146"/>
      <c r="CF197" s="146"/>
      <c r="CG197" s="146"/>
      <c r="CH197" s="146"/>
      <c r="CI197" s="146"/>
      <c r="CJ197" s="146"/>
      <c r="CK197" s="146"/>
      <c r="CL197" s="236"/>
    </row>
    <row r="198" spans="1:90" ht="12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6"/>
      <c r="AV198" s="146"/>
      <c r="AW198" s="146"/>
      <c r="AX198" s="146"/>
      <c r="AY198" s="146"/>
      <c r="AZ198" s="146"/>
      <c r="BA198" s="146"/>
      <c r="BB198" s="146"/>
      <c r="BC198" s="146"/>
      <c r="BD198" s="146"/>
      <c r="BE198" s="146"/>
      <c r="BF198" s="146"/>
      <c r="BG198" s="146"/>
      <c r="BH198" s="146"/>
      <c r="BI198" s="146"/>
      <c r="BJ198" s="146"/>
      <c r="BK198" s="146"/>
      <c r="BL198" s="146"/>
      <c r="BM198" s="146"/>
      <c r="BN198" s="146"/>
      <c r="BO198" s="146"/>
      <c r="BP198" s="146"/>
      <c r="BQ198" s="146"/>
      <c r="BR198" s="146"/>
      <c r="BS198" s="146"/>
      <c r="BT198" s="146"/>
      <c r="BU198" s="146"/>
      <c r="BV198" s="146"/>
      <c r="BW198" s="146"/>
      <c r="BX198" s="146"/>
      <c r="BY198" s="146"/>
      <c r="BZ198" s="146"/>
      <c r="CA198" s="146"/>
      <c r="CB198" s="146"/>
      <c r="CC198" s="146"/>
      <c r="CD198" s="146"/>
      <c r="CE198" s="146"/>
      <c r="CF198" s="146"/>
      <c r="CG198" s="146"/>
      <c r="CH198" s="146"/>
      <c r="CI198" s="146"/>
      <c r="CJ198" s="146"/>
      <c r="CK198" s="146"/>
      <c r="CL198" s="236">
        <v>790190000</v>
      </c>
    </row>
    <row r="199" spans="1:90" ht="12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6"/>
      <c r="AV199" s="146"/>
      <c r="AW199" s="146"/>
      <c r="AX199" s="146"/>
      <c r="AY199" s="146"/>
      <c r="AZ199" s="146"/>
      <c r="BA199" s="146"/>
      <c r="BB199" s="146"/>
      <c r="BC199" s="146"/>
      <c r="BD199" s="146"/>
      <c r="BE199" s="146"/>
      <c r="BF199" s="146"/>
      <c r="BG199" s="146"/>
      <c r="BH199" s="146"/>
      <c r="BI199" s="146"/>
      <c r="BJ199" s="146"/>
      <c r="BK199" s="146"/>
      <c r="BL199" s="146"/>
      <c r="BM199" s="146"/>
      <c r="BN199" s="146"/>
      <c r="BO199" s="146"/>
      <c r="BP199" s="146"/>
      <c r="BQ199" s="146"/>
      <c r="BR199" s="146"/>
      <c r="BS199" s="146"/>
      <c r="BT199" s="146"/>
      <c r="BU199" s="146"/>
      <c r="BV199" s="146"/>
      <c r="BW199" s="146"/>
      <c r="BX199" s="146"/>
      <c r="BY199" s="146"/>
      <c r="BZ199" s="146"/>
      <c r="CA199" s="146"/>
      <c r="CB199" s="146"/>
      <c r="CC199" s="146"/>
      <c r="CD199" s="146"/>
      <c r="CE199" s="146"/>
      <c r="CF199" s="146"/>
      <c r="CG199" s="146"/>
      <c r="CH199" s="146"/>
      <c r="CI199" s="146"/>
      <c r="CJ199" s="146"/>
      <c r="CK199" s="146"/>
      <c r="CL199" s="236">
        <v>128295550</v>
      </c>
    </row>
    <row r="200" spans="1:90" ht="12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146"/>
      <c r="BF200" s="146"/>
      <c r="BG200" s="146"/>
      <c r="BH200" s="146"/>
      <c r="BI200" s="146"/>
      <c r="BJ200" s="146"/>
      <c r="BK200" s="146"/>
      <c r="BL200" s="146"/>
      <c r="BM200" s="146"/>
      <c r="BN200" s="146"/>
      <c r="BO200" s="146"/>
      <c r="BP200" s="146"/>
      <c r="BQ200" s="146"/>
      <c r="BR200" s="146"/>
      <c r="BS200" s="146"/>
      <c r="BT200" s="146"/>
      <c r="BU200" s="146"/>
      <c r="BV200" s="146"/>
      <c r="BW200" s="146"/>
      <c r="BX200" s="146"/>
      <c r="BY200" s="146"/>
      <c r="BZ200" s="146"/>
      <c r="CA200" s="146"/>
      <c r="CB200" s="146"/>
      <c r="CC200" s="146"/>
      <c r="CD200" s="146"/>
      <c r="CE200" s="146"/>
      <c r="CF200" s="146"/>
      <c r="CG200" s="146"/>
      <c r="CH200" s="146"/>
      <c r="CI200" s="146"/>
      <c r="CJ200" s="146"/>
      <c r="CK200" s="146"/>
      <c r="CL200" s="236">
        <v>70109932.05</v>
      </c>
    </row>
    <row r="201" spans="1:90" ht="12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6"/>
      <c r="BH201" s="146"/>
      <c r="BI201" s="146"/>
      <c r="BJ201" s="146"/>
      <c r="BK201" s="146"/>
      <c r="BL201" s="146"/>
      <c r="BM201" s="146"/>
      <c r="BN201" s="146"/>
      <c r="BO201" s="146"/>
      <c r="BP201" s="146"/>
      <c r="BQ201" s="146"/>
      <c r="BR201" s="146"/>
      <c r="BS201" s="146"/>
      <c r="BT201" s="146"/>
      <c r="BU201" s="146"/>
      <c r="BV201" s="146"/>
      <c r="BW201" s="146"/>
      <c r="BX201" s="146"/>
      <c r="BY201" s="146"/>
      <c r="BZ201" s="146"/>
      <c r="CA201" s="146"/>
      <c r="CB201" s="146"/>
      <c r="CC201" s="146"/>
      <c r="CD201" s="146"/>
      <c r="CE201" s="146"/>
      <c r="CF201" s="146"/>
      <c r="CG201" s="146"/>
      <c r="CH201" s="146"/>
      <c r="CI201" s="146"/>
      <c r="CJ201" s="146"/>
      <c r="CK201" s="146"/>
      <c r="CL201" s="236">
        <f>139767000+160300+584249433.76</f>
        <v>724176733.76</v>
      </c>
    </row>
    <row r="202" spans="1:90" ht="12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6"/>
      <c r="AV202" s="146"/>
      <c r="AW202" s="146"/>
      <c r="AX202" s="146"/>
      <c r="AY202" s="146"/>
      <c r="AZ202" s="146"/>
      <c r="BA202" s="146"/>
      <c r="BB202" s="146"/>
      <c r="BC202" s="146"/>
      <c r="BD202" s="146"/>
      <c r="BE202" s="146"/>
      <c r="BF202" s="146"/>
      <c r="BG202" s="146"/>
      <c r="BH202" s="146"/>
      <c r="BI202" s="146"/>
      <c r="BJ202" s="146"/>
      <c r="BK202" s="146"/>
      <c r="BL202" s="146"/>
      <c r="BM202" s="146"/>
      <c r="BN202" s="146"/>
      <c r="BO202" s="146"/>
      <c r="BP202" s="146"/>
      <c r="BQ202" s="146"/>
      <c r="BR202" s="146"/>
      <c r="BS202" s="146"/>
      <c r="BT202" s="146"/>
      <c r="BU202" s="146"/>
      <c r="BV202" s="146"/>
      <c r="BW202" s="146"/>
      <c r="BX202" s="146"/>
      <c r="BY202" s="146"/>
      <c r="BZ202" s="146"/>
      <c r="CA202" s="146"/>
      <c r="CB202" s="146"/>
      <c r="CC202" s="146"/>
      <c r="CD202" s="146"/>
      <c r="CE202" s="146"/>
      <c r="CF202" s="146"/>
      <c r="CG202" s="146"/>
      <c r="CH202" s="146"/>
      <c r="CI202" s="146"/>
      <c r="CJ202" s="146"/>
      <c r="CK202" s="146"/>
      <c r="CL202" s="236">
        <f>SUM(CL191:CL201)</f>
        <v>3757309034.79</v>
      </c>
    </row>
    <row r="203" spans="1:90" ht="12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46"/>
      <c r="BD203" s="146"/>
      <c r="BE203" s="146"/>
      <c r="BF203" s="146"/>
      <c r="BG203" s="146"/>
      <c r="BH203" s="146"/>
      <c r="BI203" s="146"/>
      <c r="BJ203" s="146"/>
      <c r="BK203" s="146"/>
      <c r="BL203" s="146"/>
      <c r="BM203" s="146"/>
      <c r="BN203" s="146"/>
      <c r="BO203" s="146"/>
      <c r="BP203" s="146"/>
      <c r="BQ203" s="146"/>
      <c r="BR203" s="146"/>
      <c r="BS203" s="146"/>
      <c r="BT203" s="146"/>
      <c r="BU203" s="146"/>
      <c r="BV203" s="146"/>
      <c r="BW203" s="146"/>
      <c r="BX203" s="146"/>
      <c r="BY203" s="146"/>
      <c r="BZ203" s="146"/>
      <c r="CA203" s="146"/>
      <c r="CB203" s="146"/>
      <c r="CC203" s="146"/>
      <c r="CD203" s="146"/>
      <c r="CE203" s="146"/>
      <c r="CF203" s="146"/>
      <c r="CG203" s="146"/>
      <c r="CH203" s="146"/>
      <c r="CI203" s="146"/>
      <c r="CJ203" s="146"/>
      <c r="CK203" s="146"/>
      <c r="CL203" s="236"/>
    </row>
    <row r="204" spans="1:90" ht="12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  <c r="BU204" s="146"/>
      <c r="BV204" s="146"/>
      <c r="BW204" s="146"/>
      <c r="BX204" s="146"/>
      <c r="BY204" s="146"/>
      <c r="BZ204" s="146"/>
      <c r="CA204" s="146"/>
      <c r="CB204" s="146"/>
      <c r="CC204" s="146"/>
      <c r="CD204" s="146"/>
      <c r="CE204" s="146"/>
      <c r="CF204" s="146"/>
      <c r="CG204" s="146"/>
      <c r="CH204" s="146"/>
      <c r="CI204" s="146"/>
      <c r="CJ204" s="146"/>
      <c r="CK204" s="146"/>
      <c r="CL204" s="236">
        <v>7116410007.75</v>
      </c>
    </row>
    <row r="205" spans="1:90" ht="12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6"/>
      <c r="AV205" s="146"/>
      <c r="AW205" s="146"/>
      <c r="AX205" s="146"/>
      <c r="AY205" s="146"/>
      <c r="AZ205" s="146"/>
      <c r="BA205" s="146"/>
      <c r="BB205" s="146"/>
      <c r="BC205" s="146"/>
      <c r="BD205" s="146"/>
      <c r="BE205" s="146"/>
      <c r="BF205" s="146"/>
      <c r="BG205" s="146"/>
      <c r="BH205" s="146"/>
      <c r="BI205" s="146"/>
      <c r="BJ205" s="146"/>
      <c r="BK205" s="146"/>
      <c r="BL205" s="146"/>
      <c r="BM205" s="146"/>
      <c r="BN205" s="146"/>
      <c r="BO205" s="146"/>
      <c r="BP205" s="146"/>
      <c r="BQ205" s="146"/>
      <c r="BR205" s="146"/>
      <c r="BS205" s="146"/>
      <c r="BT205" s="146"/>
      <c r="BU205" s="146"/>
      <c r="BV205" s="146"/>
      <c r="BW205" s="146"/>
      <c r="BX205" s="146"/>
      <c r="BY205" s="146"/>
      <c r="BZ205" s="146"/>
      <c r="CA205" s="146"/>
      <c r="CB205" s="146"/>
      <c r="CC205" s="146"/>
      <c r="CD205" s="146"/>
      <c r="CE205" s="146"/>
      <c r="CF205" s="146"/>
      <c r="CG205" s="146"/>
      <c r="CH205" s="146"/>
      <c r="CI205" s="146"/>
      <c r="CJ205" s="146"/>
      <c r="CK205" s="146"/>
      <c r="CL205" s="236"/>
    </row>
    <row r="206" spans="1:90" ht="12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6"/>
      <c r="AV206" s="146"/>
      <c r="AW206" s="146"/>
      <c r="AX206" s="146"/>
      <c r="AY206" s="146"/>
      <c r="AZ206" s="146"/>
      <c r="BA206" s="146"/>
      <c r="BB206" s="146"/>
      <c r="BC206" s="146"/>
      <c r="BD206" s="146"/>
      <c r="BE206" s="146"/>
      <c r="BF206" s="146"/>
      <c r="BG206" s="146"/>
      <c r="BH206" s="146"/>
      <c r="BI206" s="146"/>
      <c r="BJ206" s="146"/>
      <c r="BK206" s="146"/>
      <c r="BL206" s="146"/>
      <c r="BM206" s="146"/>
      <c r="BN206" s="146"/>
      <c r="BO206" s="146"/>
      <c r="BP206" s="146"/>
      <c r="BQ206" s="146"/>
      <c r="BR206" s="146"/>
      <c r="BS206" s="146"/>
      <c r="BT206" s="146"/>
      <c r="BU206" s="146"/>
      <c r="BV206" s="146"/>
      <c r="BW206" s="146"/>
      <c r="BX206" s="146"/>
      <c r="BY206" s="146"/>
      <c r="BZ206" s="146"/>
      <c r="CA206" s="146"/>
      <c r="CB206" s="146"/>
      <c r="CC206" s="146"/>
      <c r="CD206" s="146"/>
      <c r="CE206" s="146"/>
      <c r="CF206" s="146"/>
      <c r="CG206" s="146"/>
      <c r="CH206" s="146"/>
      <c r="CI206" s="146"/>
      <c r="CJ206" s="146"/>
      <c r="CK206" s="146"/>
      <c r="CL206" s="236">
        <f>CL202-CL204</f>
        <v>-3359100972.96</v>
      </c>
    </row>
    <row r="207" spans="1:90" ht="12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146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6"/>
      <c r="AV207" s="146"/>
      <c r="AW207" s="146"/>
      <c r="AX207" s="146"/>
      <c r="AY207" s="146"/>
      <c r="AZ207" s="146"/>
      <c r="BA207" s="146"/>
      <c r="BB207" s="146"/>
      <c r="BC207" s="146"/>
      <c r="BD207" s="146"/>
      <c r="BE207" s="146"/>
      <c r="BF207" s="146"/>
      <c r="BG207" s="146"/>
      <c r="BH207" s="146"/>
      <c r="BI207" s="146"/>
      <c r="BJ207" s="146"/>
      <c r="BK207" s="146"/>
      <c r="BL207" s="146"/>
      <c r="BM207" s="146"/>
      <c r="BN207" s="146"/>
      <c r="BO207" s="146"/>
      <c r="BP207" s="146"/>
      <c r="BQ207" s="146"/>
      <c r="BR207" s="146"/>
      <c r="BS207" s="146"/>
      <c r="BT207" s="146"/>
      <c r="BU207" s="146"/>
      <c r="BV207" s="146"/>
      <c r="BW207" s="146"/>
      <c r="BX207" s="146"/>
      <c r="BY207" s="146"/>
      <c r="BZ207" s="146"/>
      <c r="CA207" s="146"/>
      <c r="CB207" s="146"/>
      <c r="CC207" s="146"/>
      <c r="CD207" s="146"/>
      <c r="CE207" s="146"/>
      <c r="CF207" s="146"/>
      <c r="CG207" s="146"/>
      <c r="CH207" s="146"/>
      <c r="CI207" s="146"/>
      <c r="CJ207" s="146"/>
      <c r="CK207" s="146"/>
      <c r="CL207" s="236">
        <v>3478864674.52</v>
      </c>
    </row>
    <row r="208" spans="1:90" ht="12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146"/>
      <c r="BF208" s="146"/>
      <c r="BG208" s="146"/>
      <c r="BH208" s="146"/>
      <c r="BI208" s="146"/>
      <c r="BJ208" s="146"/>
      <c r="BK208" s="146"/>
      <c r="BL208" s="146"/>
      <c r="BM208" s="146"/>
      <c r="BN208" s="146"/>
      <c r="BO208" s="146"/>
      <c r="BP208" s="146"/>
      <c r="BQ208" s="146"/>
      <c r="BR208" s="146"/>
      <c r="BS208" s="146"/>
      <c r="BT208" s="146"/>
      <c r="BU208" s="146"/>
      <c r="BV208" s="146"/>
      <c r="BW208" s="146"/>
      <c r="BX208" s="146"/>
      <c r="BY208" s="146"/>
      <c r="BZ208" s="146"/>
      <c r="CA208" s="146"/>
      <c r="CB208" s="146"/>
      <c r="CC208" s="146"/>
      <c r="CD208" s="146"/>
      <c r="CE208" s="146"/>
      <c r="CF208" s="146"/>
      <c r="CG208" s="146"/>
      <c r="CH208" s="146"/>
      <c r="CI208" s="146"/>
      <c r="CJ208" s="146"/>
      <c r="CK208" s="146"/>
      <c r="CL208" s="236">
        <f>CL206+CL207</f>
        <v>119763701.55999994</v>
      </c>
    </row>
    <row r="209" spans="1:90" ht="12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6"/>
      <c r="BD209" s="146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  <c r="BU209" s="146"/>
      <c r="BV209" s="146"/>
      <c r="BW209" s="146"/>
      <c r="BX209" s="146"/>
      <c r="BY209" s="146"/>
      <c r="BZ209" s="146"/>
      <c r="CA209" s="146"/>
      <c r="CB209" s="146"/>
      <c r="CC209" s="146"/>
      <c r="CD209" s="146"/>
      <c r="CE209" s="146"/>
      <c r="CF209" s="146"/>
      <c r="CG209" s="146"/>
      <c r="CH209" s="146"/>
      <c r="CI209" s="146"/>
      <c r="CJ209" s="146"/>
      <c r="CK209" s="146"/>
      <c r="CL209" s="236"/>
    </row>
    <row r="210" spans="1:90" ht="12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6"/>
      <c r="BO210" s="146"/>
      <c r="BP210" s="146"/>
      <c r="BQ210" s="146"/>
      <c r="BR210" s="146"/>
      <c r="BS210" s="146"/>
      <c r="BT210" s="146"/>
      <c r="BU210" s="146"/>
      <c r="BV210" s="146"/>
      <c r="BW210" s="146"/>
      <c r="BX210" s="146"/>
      <c r="BY210" s="146"/>
      <c r="BZ210" s="146"/>
      <c r="CA210" s="146"/>
      <c r="CB210" s="146"/>
      <c r="CC210" s="146"/>
      <c r="CD210" s="146"/>
      <c r="CE210" s="146"/>
      <c r="CF210" s="146"/>
      <c r="CG210" s="146"/>
      <c r="CH210" s="146"/>
      <c r="CI210" s="146"/>
      <c r="CJ210" s="146"/>
      <c r="CK210" s="146"/>
      <c r="CL210" s="236"/>
    </row>
    <row r="211" spans="1:90" ht="12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  <c r="BU211" s="146"/>
      <c r="BV211" s="146"/>
      <c r="BW211" s="146"/>
      <c r="BX211" s="146"/>
      <c r="BY211" s="146"/>
      <c r="BZ211" s="146"/>
      <c r="CA211" s="146"/>
      <c r="CB211" s="146"/>
      <c r="CC211" s="146"/>
      <c r="CD211" s="146"/>
      <c r="CE211" s="146"/>
      <c r="CF211" s="146"/>
      <c r="CG211" s="146"/>
      <c r="CH211" s="146"/>
      <c r="CI211" s="146"/>
      <c r="CJ211" s="146"/>
      <c r="CK211" s="146"/>
      <c r="CL211" s="236"/>
    </row>
    <row r="212" spans="1:90" ht="12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146"/>
      <c r="BF212" s="146"/>
      <c r="BG212" s="146"/>
      <c r="BH212" s="146"/>
      <c r="BI212" s="146"/>
      <c r="BJ212" s="146"/>
      <c r="BK212" s="146"/>
      <c r="BL212" s="146"/>
      <c r="BM212" s="146"/>
      <c r="BN212" s="146"/>
      <c r="BO212" s="146"/>
      <c r="BP212" s="146"/>
      <c r="BQ212" s="146"/>
      <c r="BR212" s="146"/>
      <c r="BS212" s="146"/>
      <c r="BT212" s="146"/>
      <c r="BU212" s="146"/>
      <c r="BV212" s="146"/>
      <c r="BW212" s="146"/>
      <c r="BX212" s="146"/>
      <c r="BY212" s="146"/>
      <c r="BZ212" s="146"/>
      <c r="CA212" s="146"/>
      <c r="CB212" s="146"/>
      <c r="CC212" s="146"/>
      <c r="CD212" s="146"/>
      <c r="CE212" s="146"/>
      <c r="CF212" s="146"/>
      <c r="CG212" s="146"/>
      <c r="CH212" s="146"/>
      <c r="CI212" s="146"/>
      <c r="CJ212" s="146"/>
      <c r="CK212" s="146"/>
      <c r="CL212" s="236"/>
    </row>
    <row r="213" spans="1:90" ht="12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6"/>
      <c r="AV213" s="146"/>
      <c r="AW213" s="146"/>
      <c r="AX213" s="146"/>
      <c r="AY213" s="146"/>
      <c r="AZ213" s="146"/>
      <c r="BA213" s="146"/>
      <c r="BB213" s="146"/>
      <c r="BC213" s="146"/>
      <c r="BD213" s="146"/>
      <c r="BE213" s="146"/>
      <c r="BF213" s="146"/>
      <c r="BG213" s="146"/>
      <c r="BH213" s="146"/>
      <c r="BI213" s="146"/>
      <c r="BJ213" s="146"/>
      <c r="BK213" s="146"/>
      <c r="BL213" s="146"/>
      <c r="BM213" s="146"/>
      <c r="BN213" s="146"/>
      <c r="BO213" s="146"/>
      <c r="BP213" s="146"/>
      <c r="BQ213" s="146"/>
      <c r="BR213" s="146"/>
      <c r="BS213" s="146"/>
      <c r="BT213" s="146"/>
      <c r="BU213" s="146"/>
      <c r="BV213" s="146"/>
      <c r="BW213" s="146"/>
      <c r="BX213" s="146"/>
      <c r="BY213" s="146"/>
      <c r="BZ213" s="146"/>
      <c r="CA213" s="146"/>
      <c r="CB213" s="146"/>
      <c r="CC213" s="146"/>
      <c r="CD213" s="146"/>
      <c r="CE213" s="146"/>
      <c r="CF213" s="146"/>
      <c r="CG213" s="146"/>
      <c r="CH213" s="146"/>
      <c r="CI213" s="146"/>
      <c r="CJ213" s="146"/>
      <c r="CK213" s="146"/>
      <c r="CL213" s="236"/>
    </row>
    <row r="214" spans="1:90" ht="12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6"/>
      <c r="AV214" s="146"/>
      <c r="AW214" s="146"/>
      <c r="AX214" s="146"/>
      <c r="AY214" s="146"/>
      <c r="AZ214" s="146"/>
      <c r="BA214" s="146"/>
      <c r="BB214" s="146"/>
      <c r="BC214" s="146"/>
      <c r="BD214" s="146"/>
      <c r="BE214" s="146"/>
      <c r="BF214" s="146"/>
      <c r="BG214" s="146"/>
      <c r="BH214" s="146"/>
      <c r="BI214" s="146"/>
      <c r="BJ214" s="146"/>
      <c r="BK214" s="146"/>
      <c r="BL214" s="146"/>
      <c r="BM214" s="146"/>
      <c r="BN214" s="146"/>
      <c r="BO214" s="146"/>
      <c r="BP214" s="146"/>
      <c r="BQ214" s="146"/>
      <c r="BR214" s="146"/>
      <c r="BS214" s="146"/>
      <c r="BT214" s="146"/>
      <c r="BU214" s="146"/>
      <c r="BV214" s="146"/>
      <c r="BW214" s="146"/>
      <c r="BX214" s="146"/>
      <c r="BY214" s="146"/>
      <c r="BZ214" s="146"/>
      <c r="CA214" s="146"/>
      <c r="CB214" s="146"/>
      <c r="CC214" s="146"/>
      <c r="CD214" s="146"/>
      <c r="CE214" s="146"/>
      <c r="CF214" s="146"/>
      <c r="CG214" s="146"/>
      <c r="CH214" s="146"/>
      <c r="CI214" s="146"/>
      <c r="CJ214" s="146"/>
      <c r="CK214" s="146"/>
      <c r="CL214" s="236"/>
    </row>
    <row r="215" spans="1:90" ht="12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6"/>
      <c r="AV215" s="146"/>
      <c r="AW215" s="146"/>
      <c r="AX215" s="146"/>
      <c r="AY215" s="146"/>
      <c r="AZ215" s="146"/>
      <c r="BA215" s="146"/>
      <c r="BB215" s="146"/>
      <c r="BC215" s="146"/>
      <c r="BD215" s="146"/>
      <c r="BE215" s="146"/>
      <c r="BF215" s="146"/>
      <c r="BG215" s="146"/>
      <c r="BH215" s="146"/>
      <c r="BI215" s="146"/>
      <c r="BJ215" s="146"/>
      <c r="BK215" s="146"/>
      <c r="BL215" s="146"/>
      <c r="BM215" s="146"/>
      <c r="BN215" s="146"/>
      <c r="BO215" s="146"/>
      <c r="BP215" s="146"/>
      <c r="BQ215" s="146"/>
      <c r="BR215" s="146"/>
      <c r="BS215" s="146"/>
      <c r="BT215" s="146"/>
      <c r="BU215" s="146"/>
      <c r="BV215" s="146"/>
      <c r="BW215" s="146"/>
      <c r="BX215" s="146"/>
      <c r="BY215" s="146"/>
      <c r="BZ215" s="146"/>
      <c r="CA215" s="146"/>
      <c r="CB215" s="146"/>
      <c r="CC215" s="146"/>
      <c r="CD215" s="146"/>
      <c r="CE215" s="146"/>
      <c r="CF215" s="146"/>
      <c r="CG215" s="146"/>
      <c r="CH215" s="146"/>
      <c r="CI215" s="146"/>
      <c r="CJ215" s="146"/>
      <c r="CK215" s="146"/>
      <c r="CL215" s="236"/>
    </row>
    <row r="216" spans="1:90" ht="12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6"/>
      <c r="BH216" s="146"/>
      <c r="BI216" s="146"/>
      <c r="BJ216" s="146"/>
      <c r="BK216" s="146"/>
      <c r="BL216" s="146"/>
      <c r="BM216" s="146"/>
      <c r="BN216" s="146"/>
      <c r="BO216" s="146"/>
      <c r="BP216" s="146"/>
      <c r="BQ216" s="146"/>
      <c r="BR216" s="146"/>
      <c r="BS216" s="146"/>
      <c r="BT216" s="146"/>
      <c r="BU216" s="146"/>
      <c r="BV216" s="146"/>
      <c r="BW216" s="146"/>
      <c r="BX216" s="146"/>
      <c r="BY216" s="146"/>
      <c r="BZ216" s="146"/>
      <c r="CA216" s="146"/>
      <c r="CB216" s="146"/>
      <c r="CC216" s="146"/>
      <c r="CD216" s="146"/>
      <c r="CE216" s="146"/>
      <c r="CF216" s="146"/>
      <c r="CG216" s="146"/>
      <c r="CH216" s="146"/>
      <c r="CI216" s="146"/>
      <c r="CJ216" s="146"/>
      <c r="CK216" s="146"/>
      <c r="CL216" s="236"/>
    </row>
    <row r="217" spans="1:90" ht="12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6"/>
      <c r="AV217" s="146"/>
      <c r="AW217" s="146"/>
      <c r="AX217" s="146"/>
      <c r="AY217" s="146"/>
      <c r="AZ217" s="146"/>
      <c r="BA217" s="146"/>
      <c r="BB217" s="146"/>
      <c r="BC217" s="146"/>
      <c r="BD217" s="146"/>
      <c r="BE217" s="146"/>
      <c r="BF217" s="146"/>
      <c r="BG217" s="146"/>
      <c r="BH217" s="146"/>
      <c r="BI217" s="146"/>
      <c r="BJ217" s="146"/>
      <c r="BK217" s="146"/>
      <c r="BL217" s="146"/>
      <c r="BM217" s="146"/>
      <c r="BN217" s="146"/>
      <c r="BO217" s="146"/>
      <c r="BP217" s="146"/>
      <c r="BQ217" s="146"/>
      <c r="BR217" s="146"/>
      <c r="BS217" s="146"/>
      <c r="BT217" s="146"/>
      <c r="BU217" s="146"/>
      <c r="BV217" s="146"/>
      <c r="BW217" s="146"/>
      <c r="BX217" s="146"/>
      <c r="BY217" s="146"/>
      <c r="BZ217" s="146"/>
      <c r="CA217" s="146"/>
      <c r="CB217" s="146"/>
      <c r="CC217" s="146"/>
      <c r="CD217" s="146"/>
      <c r="CE217" s="146"/>
      <c r="CF217" s="146"/>
      <c r="CG217" s="146"/>
      <c r="CH217" s="146"/>
      <c r="CI217" s="146"/>
      <c r="CJ217" s="146"/>
      <c r="CK217" s="146"/>
      <c r="CL217" s="236"/>
    </row>
    <row r="218" spans="1:90" ht="12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6"/>
      <c r="AV218" s="146"/>
      <c r="AW218" s="146"/>
      <c r="AX218" s="146"/>
      <c r="AY218" s="146"/>
      <c r="AZ218" s="146"/>
      <c r="BA218" s="146"/>
      <c r="BB218" s="146"/>
      <c r="BC218" s="146"/>
      <c r="BD218" s="146"/>
      <c r="BE218" s="146"/>
      <c r="BF218" s="146"/>
      <c r="BG218" s="146"/>
      <c r="BH218" s="146"/>
      <c r="BI218" s="146"/>
      <c r="BJ218" s="146"/>
      <c r="BK218" s="146"/>
      <c r="BL218" s="146"/>
      <c r="BM218" s="146"/>
      <c r="BN218" s="146"/>
      <c r="BO218" s="146"/>
      <c r="BP218" s="146"/>
      <c r="BQ218" s="146"/>
      <c r="BR218" s="146"/>
      <c r="BS218" s="146"/>
      <c r="BT218" s="146"/>
      <c r="BU218" s="146"/>
      <c r="BV218" s="146"/>
      <c r="BW218" s="146"/>
      <c r="BX218" s="146"/>
      <c r="BY218" s="146"/>
      <c r="BZ218" s="146"/>
      <c r="CA218" s="146"/>
      <c r="CB218" s="146"/>
      <c r="CC218" s="146"/>
      <c r="CD218" s="146"/>
      <c r="CE218" s="146"/>
      <c r="CF218" s="146"/>
      <c r="CG218" s="146"/>
      <c r="CH218" s="146"/>
      <c r="CI218" s="146"/>
      <c r="CJ218" s="146"/>
      <c r="CK218" s="146"/>
      <c r="CL218" s="236"/>
    </row>
    <row r="219" spans="1:90" ht="12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6"/>
      <c r="AV219" s="146"/>
      <c r="AW219" s="146"/>
      <c r="AX219" s="146"/>
      <c r="AY219" s="146"/>
      <c r="AZ219" s="146"/>
      <c r="BA219" s="146"/>
      <c r="BB219" s="146"/>
      <c r="BC219" s="146"/>
      <c r="BD219" s="146"/>
      <c r="BE219" s="146"/>
      <c r="BF219" s="146"/>
      <c r="BG219" s="146"/>
      <c r="BH219" s="146"/>
      <c r="BI219" s="146"/>
      <c r="BJ219" s="146"/>
      <c r="BK219" s="146"/>
      <c r="BL219" s="146"/>
      <c r="BM219" s="146"/>
      <c r="BN219" s="146"/>
      <c r="BO219" s="146"/>
      <c r="BP219" s="146"/>
      <c r="BQ219" s="146"/>
      <c r="BR219" s="146"/>
      <c r="BS219" s="146"/>
      <c r="BT219" s="146"/>
      <c r="BU219" s="146"/>
      <c r="BV219" s="146"/>
      <c r="BW219" s="146"/>
      <c r="BX219" s="146"/>
      <c r="BY219" s="146"/>
      <c r="BZ219" s="146"/>
      <c r="CA219" s="146"/>
      <c r="CB219" s="146"/>
      <c r="CC219" s="146"/>
      <c r="CD219" s="146"/>
      <c r="CE219" s="146"/>
      <c r="CF219" s="146"/>
      <c r="CG219" s="146"/>
      <c r="CH219" s="146"/>
      <c r="CI219" s="146"/>
      <c r="CJ219" s="146"/>
      <c r="CK219" s="146"/>
      <c r="CL219" s="236"/>
    </row>
    <row r="220" spans="1:90" ht="12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146"/>
      <c r="BF220" s="146"/>
      <c r="BG220" s="146"/>
      <c r="BH220" s="146"/>
      <c r="BI220" s="146"/>
      <c r="BJ220" s="146"/>
      <c r="BK220" s="146"/>
      <c r="BL220" s="146"/>
      <c r="BM220" s="146"/>
      <c r="BN220" s="146"/>
      <c r="BO220" s="146"/>
      <c r="BP220" s="146"/>
      <c r="BQ220" s="146"/>
      <c r="BR220" s="146"/>
      <c r="BS220" s="146"/>
      <c r="BT220" s="146"/>
      <c r="BU220" s="146"/>
      <c r="BV220" s="146"/>
      <c r="BW220" s="146"/>
      <c r="BX220" s="146"/>
      <c r="BY220" s="146"/>
      <c r="BZ220" s="146"/>
      <c r="CA220" s="146"/>
      <c r="CB220" s="146"/>
      <c r="CC220" s="146"/>
      <c r="CD220" s="146"/>
      <c r="CE220" s="146"/>
      <c r="CF220" s="146"/>
      <c r="CG220" s="146"/>
      <c r="CH220" s="146"/>
      <c r="CI220" s="146"/>
      <c r="CJ220" s="146"/>
      <c r="CK220" s="146"/>
      <c r="CL220" s="236"/>
    </row>
    <row r="221" spans="1:90" ht="12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6"/>
      <c r="AV221" s="146"/>
      <c r="AW221" s="146"/>
      <c r="AX221" s="146"/>
      <c r="AY221" s="146"/>
      <c r="AZ221" s="146"/>
      <c r="BA221" s="146"/>
      <c r="BB221" s="146"/>
      <c r="BC221" s="146"/>
      <c r="BD221" s="146"/>
      <c r="BE221" s="146"/>
      <c r="BF221" s="146"/>
      <c r="BG221" s="146"/>
      <c r="BH221" s="146"/>
      <c r="BI221" s="146"/>
      <c r="BJ221" s="146"/>
      <c r="BK221" s="146"/>
      <c r="BL221" s="146"/>
      <c r="BM221" s="146"/>
      <c r="BN221" s="146"/>
      <c r="BO221" s="146"/>
      <c r="BP221" s="146"/>
      <c r="BQ221" s="146"/>
      <c r="BR221" s="146"/>
      <c r="BS221" s="146"/>
      <c r="BT221" s="146"/>
      <c r="BU221" s="146"/>
      <c r="BV221" s="146"/>
      <c r="BW221" s="146"/>
      <c r="BX221" s="146"/>
      <c r="BY221" s="146"/>
      <c r="BZ221" s="146"/>
      <c r="CA221" s="146"/>
      <c r="CB221" s="146"/>
      <c r="CC221" s="146"/>
      <c r="CD221" s="146"/>
      <c r="CE221" s="146"/>
      <c r="CF221" s="146"/>
      <c r="CG221" s="146"/>
      <c r="CH221" s="146"/>
      <c r="CI221" s="146"/>
      <c r="CJ221" s="146"/>
      <c r="CK221" s="146"/>
      <c r="CL221" s="236"/>
    </row>
    <row r="222" spans="1:90" ht="12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146"/>
      <c r="BA222" s="146"/>
      <c r="BB222" s="146"/>
      <c r="BC222" s="146"/>
      <c r="BD222" s="146"/>
      <c r="BE222" s="146"/>
      <c r="BF222" s="146"/>
      <c r="BG222" s="146"/>
      <c r="BH222" s="146"/>
      <c r="BI222" s="146"/>
      <c r="BJ222" s="146"/>
      <c r="BK222" s="146"/>
      <c r="BL222" s="146"/>
      <c r="BM222" s="146"/>
      <c r="BN222" s="146"/>
      <c r="BO222" s="146"/>
      <c r="BP222" s="146"/>
      <c r="BQ222" s="146"/>
      <c r="BR222" s="146"/>
      <c r="BS222" s="146"/>
      <c r="BT222" s="146"/>
      <c r="BU222" s="146"/>
      <c r="BV222" s="146"/>
      <c r="BW222" s="146"/>
      <c r="BX222" s="146"/>
      <c r="BY222" s="146"/>
      <c r="BZ222" s="146"/>
      <c r="CA222" s="146"/>
      <c r="CB222" s="146"/>
      <c r="CC222" s="146"/>
      <c r="CD222" s="146"/>
      <c r="CE222" s="146"/>
      <c r="CF222" s="146"/>
      <c r="CG222" s="146"/>
      <c r="CH222" s="146"/>
      <c r="CI222" s="146"/>
      <c r="CJ222" s="146"/>
      <c r="CK222" s="146"/>
      <c r="CL222" s="236"/>
    </row>
    <row r="223" spans="1:90" ht="12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146"/>
      <c r="AX223" s="146"/>
      <c r="AY223" s="146"/>
      <c r="AZ223" s="146"/>
      <c r="BA223" s="146"/>
      <c r="BB223" s="146"/>
      <c r="BC223" s="146"/>
      <c r="BD223" s="146"/>
      <c r="BE223" s="146"/>
      <c r="BF223" s="146"/>
      <c r="BG223" s="146"/>
      <c r="BH223" s="146"/>
      <c r="BI223" s="146"/>
      <c r="BJ223" s="146"/>
      <c r="BK223" s="146"/>
      <c r="BL223" s="146"/>
      <c r="BM223" s="146"/>
      <c r="BN223" s="146"/>
      <c r="BO223" s="146"/>
      <c r="BP223" s="146"/>
      <c r="BQ223" s="146"/>
      <c r="BR223" s="146"/>
      <c r="BS223" s="146"/>
      <c r="BT223" s="146"/>
      <c r="BU223" s="146"/>
      <c r="BV223" s="146"/>
      <c r="BW223" s="146"/>
      <c r="BX223" s="146"/>
      <c r="BY223" s="146"/>
      <c r="BZ223" s="146"/>
      <c r="CA223" s="146"/>
      <c r="CB223" s="146"/>
      <c r="CC223" s="146"/>
      <c r="CD223" s="146"/>
      <c r="CE223" s="146"/>
      <c r="CF223" s="146"/>
      <c r="CG223" s="146"/>
      <c r="CH223" s="146"/>
      <c r="CI223" s="146"/>
      <c r="CJ223" s="146"/>
      <c r="CK223" s="146"/>
      <c r="CL223" s="236"/>
    </row>
    <row r="224" spans="1:90" ht="12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  <c r="BH224" s="146"/>
      <c r="BI224" s="146"/>
      <c r="BJ224" s="146"/>
      <c r="BK224" s="146"/>
      <c r="BL224" s="146"/>
      <c r="BM224" s="146"/>
      <c r="BN224" s="146"/>
      <c r="BO224" s="146"/>
      <c r="BP224" s="146"/>
      <c r="BQ224" s="146"/>
      <c r="BR224" s="146"/>
      <c r="BS224" s="146"/>
      <c r="BT224" s="146"/>
      <c r="BU224" s="146"/>
      <c r="BV224" s="146"/>
      <c r="BW224" s="146"/>
      <c r="BX224" s="146"/>
      <c r="BY224" s="146"/>
      <c r="BZ224" s="146"/>
      <c r="CA224" s="146"/>
      <c r="CB224" s="146"/>
      <c r="CC224" s="146"/>
      <c r="CD224" s="146"/>
      <c r="CE224" s="146"/>
      <c r="CF224" s="146"/>
      <c r="CG224" s="146"/>
      <c r="CH224" s="146"/>
      <c r="CI224" s="146"/>
      <c r="CJ224" s="146"/>
      <c r="CK224" s="146"/>
      <c r="CL224" s="236"/>
    </row>
  </sheetData>
  <sheetProtection/>
  <mergeCells count="9">
    <mergeCell ref="A150:A151"/>
    <mergeCell ref="B150:AS150"/>
    <mergeCell ref="AT150:CJ150"/>
    <mergeCell ref="A4:CJ4"/>
    <mergeCell ref="A5:CJ5"/>
    <mergeCell ref="A6:A7"/>
    <mergeCell ref="B6:AS6"/>
    <mergeCell ref="AT6:CJ6"/>
    <mergeCell ref="A149:CJ149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96"/>
  <sheetViews>
    <sheetView zoomScalePageLayoutView="0" workbookViewId="0" topLeftCell="A186">
      <selection activeCell="AD231" sqref="AD230:AD231"/>
    </sheetView>
  </sheetViews>
  <sheetFormatPr defaultColWidth="8.75390625" defaultRowHeight="11.25" customHeight="1" outlineLevelRow="1"/>
  <cols>
    <col min="1" max="1" width="8.75390625" style="89" customWidth="1"/>
    <col min="2" max="2" width="7.375" style="89" customWidth="1"/>
    <col min="3" max="3" width="0.6171875" style="89" customWidth="1"/>
    <col min="4" max="4" width="7.375" style="89" customWidth="1"/>
    <col min="5" max="5" width="0.6171875" style="89" customWidth="1"/>
    <col min="6" max="6" width="2.375" style="89" customWidth="1"/>
    <col min="7" max="7" width="4.125" style="89" customWidth="1"/>
    <col min="8" max="8" width="0.6171875" style="89" customWidth="1"/>
    <col min="9" max="9" width="7.375" style="89" customWidth="1"/>
    <col min="10" max="10" width="7.125" style="89" customWidth="1"/>
    <col min="11" max="11" width="0.2421875" style="89" customWidth="1"/>
    <col min="12" max="12" width="0.74609375" style="89" customWidth="1"/>
    <col min="13" max="13" width="2.375" style="89" customWidth="1"/>
    <col min="14" max="14" width="3.75390625" style="89" customWidth="1"/>
    <col min="15" max="15" width="2.125" style="89" customWidth="1"/>
    <col min="16" max="16" width="4.875" style="89" customWidth="1"/>
    <col min="17" max="17" width="0.2421875" style="89" customWidth="1"/>
    <col min="18" max="18" width="0.74609375" style="89" customWidth="1"/>
    <col min="19" max="19" width="2.375" style="89" customWidth="1"/>
    <col min="20" max="20" width="4.875" style="89" customWidth="1"/>
    <col min="21" max="21" width="3.125" style="89" customWidth="1"/>
    <col min="22" max="22" width="1.75390625" style="89" customWidth="1"/>
    <col min="23" max="23" width="2.375" style="89" customWidth="1"/>
    <col min="24" max="24" width="3.125" style="89" customWidth="1"/>
    <col min="25" max="25" width="4.875" style="89" customWidth="1"/>
    <col min="26" max="26" width="3.125" style="89" customWidth="1"/>
    <col min="27" max="27" width="0.2421875" style="89" customWidth="1"/>
    <col min="28" max="28" width="4.625" style="89" customWidth="1"/>
    <col min="29" max="29" width="10.875" style="89" customWidth="1"/>
    <col min="30" max="30" width="16.125" style="89" customWidth="1"/>
  </cols>
  <sheetData>
    <row r="1" s="89" customFormat="1" ht="12.75" customHeight="1" hidden="1">
      <c r="A1" s="88" t="s">
        <v>195</v>
      </c>
    </row>
    <row r="2" s="89" customFormat="1" ht="15.75" customHeight="1" hidden="1">
      <c r="A2" s="90" t="s">
        <v>588</v>
      </c>
    </row>
    <row r="3" spans="1:2" s="89" customFormat="1" ht="10.5" customHeight="1" hidden="1">
      <c r="A3" s="89" t="s">
        <v>196</v>
      </c>
      <c r="B3" s="89" t="s">
        <v>197</v>
      </c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s="89" customFormat="1" ht="9.75" customHeight="1" hidden="1"/>
    <row r="186" spans="1:30" ht="12" customHeight="1">
      <c r="A186" s="377" t="s">
        <v>369</v>
      </c>
      <c r="B186" s="377"/>
      <c r="C186" s="377"/>
      <c r="D186" s="377"/>
      <c r="E186" s="377"/>
      <c r="F186" s="377"/>
      <c r="G186" s="378" t="s">
        <v>199</v>
      </c>
      <c r="H186" s="378"/>
      <c r="I186" s="378"/>
      <c r="J186" s="378"/>
      <c r="K186" s="378"/>
      <c r="L186" s="378"/>
      <c r="M186" s="378"/>
      <c r="N186" s="378"/>
      <c r="O186" s="378"/>
      <c r="P186" s="378"/>
      <c r="Q186" s="378" t="s">
        <v>200</v>
      </c>
      <c r="R186" s="378"/>
      <c r="S186" s="378"/>
      <c r="T186" s="378"/>
      <c r="U186" s="378"/>
      <c r="V186" s="378"/>
      <c r="W186" s="378"/>
      <c r="X186" s="378"/>
      <c r="Y186" s="378"/>
      <c r="Z186" s="378"/>
      <c r="AA186" s="378"/>
      <c r="AB186" s="378" t="s">
        <v>201</v>
      </c>
      <c r="AC186" s="378"/>
      <c r="AD186" s="378"/>
    </row>
    <row r="187" spans="1:30" ht="10.5" customHeight="1">
      <c r="A187" s="377" t="s">
        <v>370</v>
      </c>
      <c r="B187" s="377"/>
      <c r="C187" s="377"/>
      <c r="D187" s="377"/>
      <c r="E187" s="377"/>
      <c r="F187" s="377"/>
      <c r="G187" s="378" t="s">
        <v>191</v>
      </c>
      <c r="H187" s="378"/>
      <c r="I187" s="378"/>
      <c r="J187" s="378"/>
      <c r="K187" s="378"/>
      <c r="L187" s="378" t="s">
        <v>192</v>
      </c>
      <c r="M187" s="378"/>
      <c r="N187" s="378"/>
      <c r="O187" s="378"/>
      <c r="P187" s="378"/>
      <c r="Q187" s="378" t="s">
        <v>191</v>
      </c>
      <c r="R187" s="378"/>
      <c r="S187" s="378"/>
      <c r="T187" s="378"/>
      <c r="U187" s="378"/>
      <c r="V187" s="378"/>
      <c r="W187" s="378" t="s">
        <v>192</v>
      </c>
      <c r="X187" s="378"/>
      <c r="Y187" s="378"/>
      <c r="Z187" s="378"/>
      <c r="AA187" s="378"/>
      <c r="AB187" s="378" t="s">
        <v>191</v>
      </c>
      <c r="AC187" s="378"/>
      <c r="AD187" s="378" t="s">
        <v>192</v>
      </c>
    </row>
    <row r="188" spans="1:30" ht="10.5" customHeight="1">
      <c r="A188" s="377"/>
      <c r="B188" s="377"/>
      <c r="C188" s="377"/>
      <c r="D188" s="377"/>
      <c r="E188" s="377"/>
      <c r="F188" s="377"/>
      <c r="G188" s="378"/>
      <c r="H188" s="378"/>
      <c r="I188" s="378"/>
      <c r="J188" s="378"/>
      <c r="K188" s="378"/>
      <c r="L188" s="378"/>
      <c r="M188" s="378"/>
      <c r="N188" s="378"/>
      <c r="O188" s="378"/>
      <c r="P188" s="378"/>
      <c r="Q188" s="378"/>
      <c r="R188" s="378"/>
      <c r="S188" s="378"/>
      <c r="T188" s="378"/>
      <c r="U188" s="378"/>
      <c r="V188" s="378"/>
      <c r="W188" s="378"/>
      <c r="X188" s="378"/>
      <c r="Y188" s="378"/>
      <c r="Z188" s="378"/>
      <c r="AA188" s="378"/>
      <c r="AB188" s="378"/>
      <c r="AC188" s="378"/>
      <c r="AD188" s="378"/>
    </row>
    <row r="189" spans="1:30" ht="12.75" customHeight="1">
      <c r="A189" s="390">
        <v>2184</v>
      </c>
      <c r="B189" s="390"/>
      <c r="C189" s="390"/>
      <c r="D189" s="390"/>
      <c r="E189" s="390"/>
      <c r="F189" s="390"/>
      <c r="G189" s="391">
        <v>110193231.46</v>
      </c>
      <c r="H189" s="391"/>
      <c r="I189" s="391"/>
      <c r="J189" s="391"/>
      <c r="K189" s="391"/>
      <c r="L189" s="237"/>
      <c r="M189" s="238"/>
      <c r="N189" s="238"/>
      <c r="O189" s="238"/>
      <c r="P189" s="239"/>
      <c r="Q189" s="391">
        <v>716792.73</v>
      </c>
      <c r="R189" s="391"/>
      <c r="S189" s="391"/>
      <c r="T189" s="391"/>
      <c r="U189" s="391"/>
      <c r="V189" s="391"/>
      <c r="W189" s="391">
        <v>15683284.29</v>
      </c>
      <c r="X189" s="391"/>
      <c r="Y189" s="391"/>
      <c r="Z189" s="391"/>
      <c r="AA189" s="391"/>
      <c r="AB189" s="391">
        <v>95226739.9</v>
      </c>
      <c r="AC189" s="391"/>
      <c r="AD189" s="240"/>
    </row>
    <row r="190" spans="1:30" ht="24" customHeight="1" outlineLevel="1">
      <c r="A190" s="392" t="s">
        <v>371</v>
      </c>
      <c r="B190" s="392"/>
      <c r="C190" s="392"/>
      <c r="D190" s="392"/>
      <c r="E190" s="392"/>
      <c r="F190" s="392"/>
      <c r="G190" s="393">
        <v>2674005.29</v>
      </c>
      <c r="H190" s="393"/>
      <c r="I190" s="393"/>
      <c r="J190" s="393"/>
      <c r="K190" s="393"/>
      <c r="L190" s="241"/>
      <c r="M190" s="242"/>
      <c r="N190" s="242"/>
      <c r="O190" s="242"/>
      <c r="P190" s="243"/>
      <c r="Q190" s="241"/>
      <c r="R190" s="242"/>
      <c r="S190" s="242"/>
      <c r="T190" s="242"/>
      <c r="U190" s="242"/>
      <c r="V190" s="243"/>
      <c r="W190" s="393">
        <v>2674005.29</v>
      </c>
      <c r="X190" s="393"/>
      <c r="Y190" s="393"/>
      <c r="Z190" s="393"/>
      <c r="AA190" s="393"/>
      <c r="AB190" s="241"/>
      <c r="AC190" s="243"/>
      <c r="AD190" s="108"/>
    </row>
    <row r="191" spans="1:30" ht="12" customHeight="1" outlineLevel="1">
      <c r="A191" s="392" t="s">
        <v>372</v>
      </c>
      <c r="B191" s="392"/>
      <c r="C191" s="392"/>
      <c r="D191" s="392"/>
      <c r="E191" s="392"/>
      <c r="F191" s="392"/>
      <c r="G191" s="393">
        <v>11163017.17</v>
      </c>
      <c r="H191" s="393"/>
      <c r="I191" s="393"/>
      <c r="J191" s="393"/>
      <c r="K191" s="393"/>
      <c r="L191" s="241"/>
      <c r="M191" s="242"/>
      <c r="N191" s="242"/>
      <c r="O191" s="242"/>
      <c r="P191" s="243"/>
      <c r="Q191" s="393">
        <v>716792.73</v>
      </c>
      <c r="R191" s="393"/>
      <c r="S191" s="393"/>
      <c r="T191" s="393"/>
      <c r="U191" s="393"/>
      <c r="V191" s="393"/>
      <c r="W191" s="393">
        <v>10080000</v>
      </c>
      <c r="X191" s="393"/>
      <c r="Y191" s="393"/>
      <c r="Z191" s="393"/>
      <c r="AA191" s="393"/>
      <c r="AB191" s="393">
        <v>1799809.9</v>
      </c>
      <c r="AC191" s="393"/>
      <c r="AD191" s="108"/>
    </row>
    <row r="192" spans="1:30" ht="12" customHeight="1" outlineLevel="1">
      <c r="A192" s="392" t="s">
        <v>373</v>
      </c>
      <c r="B192" s="392"/>
      <c r="C192" s="392"/>
      <c r="D192" s="392"/>
      <c r="E192" s="392"/>
      <c r="F192" s="392"/>
      <c r="G192" s="393">
        <v>96356209</v>
      </c>
      <c r="H192" s="393"/>
      <c r="I192" s="393"/>
      <c r="J192" s="393"/>
      <c r="K192" s="393"/>
      <c r="L192" s="241"/>
      <c r="M192" s="242"/>
      <c r="N192" s="242"/>
      <c r="O192" s="242"/>
      <c r="P192" s="243"/>
      <c r="Q192" s="241"/>
      <c r="R192" s="242"/>
      <c r="S192" s="242"/>
      <c r="T192" s="242"/>
      <c r="U192" s="242"/>
      <c r="V192" s="243"/>
      <c r="W192" s="393">
        <v>2929279</v>
      </c>
      <c r="X192" s="393"/>
      <c r="Y192" s="393"/>
      <c r="Z192" s="393"/>
      <c r="AA192" s="393"/>
      <c r="AB192" s="393">
        <v>93426930</v>
      </c>
      <c r="AC192" s="393"/>
      <c r="AD192" s="108"/>
    </row>
    <row r="195" ht="10.5" customHeight="1">
      <c r="A195" s="89" t="s">
        <v>374</v>
      </c>
    </row>
    <row r="196" spans="3:26" ht="10.5" customHeight="1">
      <c r="C196" s="394" t="s">
        <v>375</v>
      </c>
      <c r="D196" s="394"/>
      <c r="E196" s="394"/>
      <c r="F196" s="394"/>
      <c r="G196" s="394"/>
      <c r="H196" s="394"/>
      <c r="I196" s="394"/>
      <c r="J196" s="394"/>
      <c r="K196" s="394"/>
      <c r="L196" s="394"/>
      <c r="N196" s="394" t="s">
        <v>376</v>
      </c>
      <c r="O196" s="394"/>
      <c r="P196" s="394"/>
      <c r="Q196" s="394"/>
      <c r="R196" s="394"/>
      <c r="T196" s="394" t="s">
        <v>377</v>
      </c>
      <c r="U196" s="394"/>
      <c r="V196" s="394"/>
      <c r="W196" s="394"/>
      <c r="X196" s="394"/>
      <c r="Y196" s="394"/>
      <c r="Z196" s="394"/>
    </row>
  </sheetData>
  <sheetProtection/>
  <mergeCells count="31">
    <mergeCell ref="AB191:AC191"/>
    <mergeCell ref="A192:F192"/>
    <mergeCell ref="G192:K192"/>
    <mergeCell ref="W192:AA192"/>
    <mergeCell ref="AB192:AC192"/>
    <mergeCell ref="C196:L196"/>
    <mergeCell ref="N196:R196"/>
    <mergeCell ref="T196:Z196"/>
    <mergeCell ref="A190:F190"/>
    <mergeCell ref="G190:K190"/>
    <mergeCell ref="W190:AA190"/>
    <mergeCell ref="A191:F191"/>
    <mergeCell ref="G191:K191"/>
    <mergeCell ref="Q191:V191"/>
    <mergeCell ref="W191:AA191"/>
    <mergeCell ref="AD187:AD188"/>
    <mergeCell ref="A189:F189"/>
    <mergeCell ref="G189:K189"/>
    <mergeCell ref="Q189:V189"/>
    <mergeCell ref="W189:AA189"/>
    <mergeCell ref="AB189:AC189"/>
    <mergeCell ref="A186:F186"/>
    <mergeCell ref="G186:P186"/>
    <mergeCell ref="Q186:AA186"/>
    <mergeCell ref="AB186:AD186"/>
    <mergeCell ref="A187:F188"/>
    <mergeCell ref="G187:K188"/>
    <mergeCell ref="L187:P188"/>
    <mergeCell ref="Q187:V188"/>
    <mergeCell ref="W187:AA188"/>
    <mergeCell ref="AB187:AC18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84">
      <selection activeCell="F198" sqref="F198"/>
    </sheetView>
  </sheetViews>
  <sheetFormatPr defaultColWidth="8.75390625" defaultRowHeight="12.75" outlineLevelRow="2"/>
  <cols>
    <col min="1" max="1" width="30.875" style="89" customWidth="1"/>
    <col min="2" max="5" width="16.125" style="89" customWidth="1"/>
    <col min="6" max="6" width="21.125" style="89" customWidth="1"/>
    <col min="7" max="7" width="16.125" style="89" customWidth="1"/>
    <col min="8" max="8" width="8.75390625" style="0" customWidth="1"/>
    <col min="9" max="9" width="18.125" style="0" customWidth="1"/>
    <col min="10" max="10" width="8.75390625" style="0" customWidth="1"/>
    <col min="11" max="11" width="11.75390625" style="0" bestFit="1" customWidth="1"/>
  </cols>
  <sheetData>
    <row r="1" ht="12.75" customHeight="1">
      <c r="A1" s="88" t="s">
        <v>195</v>
      </c>
    </row>
    <row r="2" ht="15.75" customHeight="1">
      <c r="A2" s="90" t="s">
        <v>589</v>
      </c>
    </row>
    <row r="3" spans="1:2" ht="10.5" customHeight="1">
      <c r="A3" s="89" t="s">
        <v>196</v>
      </c>
      <c r="B3" s="89" t="s">
        <v>197</v>
      </c>
    </row>
    <row r="4" spans="1:7" ht="12" customHeight="1">
      <c r="A4" s="377" t="s">
        <v>198</v>
      </c>
      <c r="B4" s="378" t="s">
        <v>199</v>
      </c>
      <c r="C4" s="378"/>
      <c r="D4" s="378" t="s">
        <v>200</v>
      </c>
      <c r="E4" s="378"/>
      <c r="F4" s="378" t="s">
        <v>201</v>
      </c>
      <c r="G4" s="378"/>
    </row>
    <row r="5" spans="1:7" ht="12" customHeight="1">
      <c r="A5" s="377"/>
      <c r="B5" s="245" t="s">
        <v>191</v>
      </c>
      <c r="C5" s="245" t="s">
        <v>192</v>
      </c>
      <c r="D5" s="245" t="s">
        <v>191</v>
      </c>
      <c r="E5" s="245" t="s">
        <v>192</v>
      </c>
      <c r="F5" s="245" t="s">
        <v>191</v>
      </c>
      <c r="G5" s="245" t="s">
        <v>192</v>
      </c>
    </row>
    <row r="6" spans="1:7" ht="12" customHeight="1">
      <c r="A6" s="106" t="s">
        <v>202</v>
      </c>
      <c r="B6" s="246">
        <v>1720310395.96</v>
      </c>
      <c r="C6" s="108"/>
      <c r="D6" s="246">
        <v>22282624352.24</v>
      </c>
      <c r="E6" s="246">
        <v>22182219683.26</v>
      </c>
      <c r="F6" s="246">
        <v>1820715064.94</v>
      </c>
      <c r="G6" s="108"/>
    </row>
    <row r="7" spans="1:7" ht="24" customHeight="1" outlineLevel="1">
      <c r="A7" s="109" t="s">
        <v>203</v>
      </c>
      <c r="B7" s="110">
        <v>272999.13</v>
      </c>
      <c r="C7" s="111"/>
      <c r="D7" s="110">
        <v>39615187.32</v>
      </c>
      <c r="E7" s="110">
        <v>39161299.99</v>
      </c>
      <c r="F7" s="110">
        <v>726886.46</v>
      </c>
      <c r="G7" s="111"/>
    </row>
    <row r="8" spans="1:7" ht="24" customHeight="1" outlineLevel="1">
      <c r="A8" s="112" t="s">
        <v>204</v>
      </c>
      <c r="B8" s="113">
        <v>19156927.68</v>
      </c>
      <c r="C8" s="114"/>
      <c r="D8" s="113">
        <v>27780000</v>
      </c>
      <c r="E8" s="113">
        <v>17156927.68</v>
      </c>
      <c r="F8" s="113">
        <v>29780000</v>
      </c>
      <c r="G8" s="114"/>
    </row>
    <row r="9" spans="1:7" ht="24" customHeight="1" outlineLevel="2">
      <c r="A9" s="115" t="s">
        <v>205</v>
      </c>
      <c r="B9" s="110">
        <v>19156927.68</v>
      </c>
      <c r="C9" s="111"/>
      <c r="D9" s="110">
        <v>27780000</v>
      </c>
      <c r="E9" s="110">
        <v>17156927.68</v>
      </c>
      <c r="F9" s="110">
        <v>29780000</v>
      </c>
      <c r="G9" s="111"/>
    </row>
    <row r="10" spans="1:7" ht="24" customHeight="1" outlineLevel="1">
      <c r="A10" s="112" t="s">
        <v>206</v>
      </c>
      <c r="B10" s="113">
        <v>1700880469.15</v>
      </c>
      <c r="C10" s="114"/>
      <c r="D10" s="113">
        <v>18727229164.92</v>
      </c>
      <c r="E10" s="113">
        <v>18637901455.59</v>
      </c>
      <c r="F10" s="113">
        <v>1790208178.48</v>
      </c>
      <c r="G10" s="114"/>
    </row>
    <row r="11" spans="1:7" ht="24" customHeight="1" outlineLevel="2">
      <c r="A11" s="115" t="s">
        <v>207</v>
      </c>
      <c r="B11" s="110">
        <v>1700880469.15</v>
      </c>
      <c r="C11" s="111"/>
      <c r="D11" s="110">
        <v>18727229164.92</v>
      </c>
      <c r="E11" s="110">
        <v>18637901455.59</v>
      </c>
      <c r="F11" s="110">
        <v>1790208178.48</v>
      </c>
      <c r="G11" s="111"/>
    </row>
    <row r="12" spans="1:7" ht="24" customHeight="1" outlineLevel="1">
      <c r="A12" s="112" t="s">
        <v>384</v>
      </c>
      <c r="B12" s="114"/>
      <c r="C12" s="114"/>
      <c r="D12" s="113">
        <v>3488000000</v>
      </c>
      <c r="E12" s="113">
        <v>3488000000</v>
      </c>
      <c r="F12" s="114"/>
      <c r="G12" s="114"/>
    </row>
    <row r="13" spans="1:7" ht="36" customHeight="1" outlineLevel="2">
      <c r="A13" s="115" t="s">
        <v>385</v>
      </c>
      <c r="B13" s="111"/>
      <c r="C13" s="111"/>
      <c r="D13" s="110">
        <v>3488000000</v>
      </c>
      <c r="E13" s="110">
        <v>3488000000</v>
      </c>
      <c r="F13" s="111"/>
      <c r="G13" s="111"/>
    </row>
    <row r="14" spans="1:7" ht="24" customHeight="1">
      <c r="A14" s="106" t="s">
        <v>208</v>
      </c>
      <c r="B14" s="246">
        <v>218607842.51</v>
      </c>
      <c r="C14" s="108"/>
      <c r="D14" s="246">
        <v>6104345835.780001</v>
      </c>
      <c r="E14" s="246">
        <v>6115143053.339999</v>
      </c>
      <c r="F14" s="246">
        <v>207810624.95</v>
      </c>
      <c r="G14" s="108"/>
    </row>
    <row r="15" spans="1:7" ht="24" customHeight="1" outlineLevel="1">
      <c r="A15" s="109" t="s">
        <v>209</v>
      </c>
      <c r="B15" s="110">
        <v>17516139.74</v>
      </c>
      <c r="C15" s="111"/>
      <c r="D15" s="110">
        <v>32167200.95</v>
      </c>
      <c r="E15" s="110">
        <v>35931588.49</v>
      </c>
      <c r="F15" s="110">
        <v>13751752.2</v>
      </c>
      <c r="G15" s="111"/>
    </row>
    <row r="16" spans="1:7" ht="24" customHeight="1" outlineLevel="1">
      <c r="A16" s="109" t="s">
        <v>210</v>
      </c>
      <c r="B16" s="111"/>
      <c r="C16" s="111"/>
      <c r="D16" s="110">
        <v>68592</v>
      </c>
      <c r="E16" s="110">
        <v>67979.57</v>
      </c>
      <c r="F16" s="116">
        <v>612.43</v>
      </c>
      <c r="G16" s="111"/>
    </row>
    <row r="17" spans="1:7" ht="36" customHeight="1" outlineLevel="1">
      <c r="A17" s="112" t="s">
        <v>211</v>
      </c>
      <c r="B17" s="113">
        <v>204392277.75</v>
      </c>
      <c r="C17" s="114"/>
      <c r="D17" s="113">
        <v>5864280969.849999</v>
      </c>
      <c r="E17" s="113">
        <v>5863805549.199999</v>
      </c>
      <c r="F17" s="113">
        <v>204867698.4</v>
      </c>
      <c r="G17" s="114"/>
    </row>
    <row r="18" spans="1:7" ht="36" customHeight="1" outlineLevel="2">
      <c r="A18" s="115" t="s">
        <v>212</v>
      </c>
      <c r="B18" s="110">
        <v>204392277.75</v>
      </c>
      <c r="C18" s="111"/>
      <c r="D18" s="110">
        <v>5864280969.849999</v>
      </c>
      <c r="E18" s="110">
        <v>5863805549.199999</v>
      </c>
      <c r="F18" s="110">
        <v>204867698.4</v>
      </c>
      <c r="G18" s="111"/>
    </row>
    <row r="19" spans="1:7" ht="36" customHeight="1" outlineLevel="1">
      <c r="A19" s="112" t="s">
        <v>213</v>
      </c>
      <c r="B19" s="113">
        <v>1351187.53</v>
      </c>
      <c r="C19" s="114"/>
      <c r="D19" s="113">
        <v>48489487.55</v>
      </c>
      <c r="E19" s="113">
        <v>47512985.51</v>
      </c>
      <c r="F19" s="113">
        <v>2327689.57</v>
      </c>
      <c r="G19" s="114"/>
    </row>
    <row r="20" spans="1:7" ht="36" customHeight="1" outlineLevel="2">
      <c r="A20" s="115" t="s">
        <v>214</v>
      </c>
      <c r="B20" s="110">
        <v>1200341.61</v>
      </c>
      <c r="C20" s="111"/>
      <c r="D20" s="110">
        <v>46939788.95</v>
      </c>
      <c r="E20" s="110">
        <v>46769047.92</v>
      </c>
      <c r="F20" s="110">
        <v>1371082.64</v>
      </c>
      <c r="G20" s="111"/>
    </row>
    <row r="21" spans="1:7" ht="36" customHeight="1" outlineLevel="2">
      <c r="A21" s="115" t="s">
        <v>215</v>
      </c>
      <c r="B21" s="110">
        <v>150845.92</v>
      </c>
      <c r="C21" s="111"/>
      <c r="D21" s="110">
        <v>1369395.6</v>
      </c>
      <c r="E21" s="110">
        <v>563634.59</v>
      </c>
      <c r="F21" s="110">
        <v>956606.93</v>
      </c>
      <c r="G21" s="111"/>
    </row>
    <row r="22" spans="1:7" ht="36" customHeight="1" outlineLevel="2">
      <c r="A22" s="115" t="s">
        <v>216</v>
      </c>
      <c r="B22" s="111"/>
      <c r="C22" s="111"/>
      <c r="D22" s="110">
        <v>180303</v>
      </c>
      <c r="E22" s="110">
        <v>180303</v>
      </c>
      <c r="F22" s="111"/>
      <c r="G22" s="111"/>
    </row>
    <row r="23" spans="1:7" ht="24" customHeight="1" outlineLevel="1">
      <c r="A23" s="112" t="s">
        <v>386</v>
      </c>
      <c r="B23" s="114"/>
      <c r="C23" s="114"/>
      <c r="D23" s="113">
        <v>1038275.01</v>
      </c>
      <c r="E23" s="113">
        <v>1038275.01</v>
      </c>
      <c r="F23" s="114"/>
      <c r="G23" s="114"/>
    </row>
    <row r="24" spans="1:7" ht="36" customHeight="1" outlineLevel="2">
      <c r="A24" s="115" t="s">
        <v>387</v>
      </c>
      <c r="B24" s="111"/>
      <c r="C24" s="111"/>
      <c r="D24" s="110">
        <v>1038275.01</v>
      </c>
      <c r="E24" s="110">
        <v>1038275.01</v>
      </c>
      <c r="F24" s="111"/>
      <c r="G24" s="111"/>
    </row>
    <row r="25" spans="1:7" ht="24" customHeight="1" outlineLevel="1">
      <c r="A25" s="109" t="s">
        <v>217</v>
      </c>
      <c r="B25" s="110">
        <v>24581809.39</v>
      </c>
      <c r="C25" s="111"/>
      <c r="D25" s="110">
        <v>158301310.42</v>
      </c>
      <c r="E25" s="110">
        <v>156252536.07</v>
      </c>
      <c r="F25" s="110">
        <v>26630583.74</v>
      </c>
      <c r="G25" s="111"/>
    </row>
    <row r="26" spans="1:7" ht="24" customHeight="1" outlineLevel="2">
      <c r="A26" s="115" t="s">
        <v>217</v>
      </c>
      <c r="B26" s="110">
        <v>12821531.16</v>
      </c>
      <c r="C26" s="111"/>
      <c r="D26" s="110">
        <v>155227563.95</v>
      </c>
      <c r="E26" s="110">
        <v>156252536.35</v>
      </c>
      <c r="F26" s="110">
        <v>11796558.76</v>
      </c>
      <c r="G26" s="111"/>
    </row>
    <row r="27" spans="1:7" ht="24" customHeight="1" outlineLevel="2">
      <c r="A27" s="115" t="s">
        <v>368</v>
      </c>
      <c r="B27" s="110">
        <v>9372119.23</v>
      </c>
      <c r="C27" s="111"/>
      <c r="D27" s="110">
        <v>3073746.47</v>
      </c>
      <c r="E27" s="111"/>
      <c r="F27" s="110">
        <v>12445865.7</v>
      </c>
      <c r="G27" s="111"/>
    </row>
    <row r="28" spans="1:7" ht="24" customHeight="1" outlineLevel="2">
      <c r="A28" s="115" t="s">
        <v>218</v>
      </c>
      <c r="B28" s="110">
        <v>2388159</v>
      </c>
      <c r="C28" s="111"/>
      <c r="D28" s="111"/>
      <c r="E28" s="117">
        <v>-0.28</v>
      </c>
      <c r="F28" s="110">
        <v>2388159.28</v>
      </c>
      <c r="G28" s="111"/>
    </row>
    <row r="29" spans="1:7" ht="24" customHeight="1" outlineLevel="1">
      <c r="A29" s="112" t="s">
        <v>219</v>
      </c>
      <c r="B29" s="114"/>
      <c r="C29" s="113">
        <v>29233571.9</v>
      </c>
      <c r="D29" s="114"/>
      <c r="E29" s="113">
        <v>10534139.49</v>
      </c>
      <c r="F29" s="114"/>
      <c r="G29" s="113">
        <v>39767711.39</v>
      </c>
    </row>
    <row r="30" spans="1:7" ht="58.5" customHeight="1" outlineLevel="2">
      <c r="A30" s="115" t="s">
        <v>362</v>
      </c>
      <c r="B30" s="111"/>
      <c r="C30" s="110">
        <v>22769018.21</v>
      </c>
      <c r="D30" s="111"/>
      <c r="E30" s="110">
        <v>10534139.49</v>
      </c>
      <c r="F30" s="111"/>
      <c r="G30" s="110">
        <v>33303157.7</v>
      </c>
    </row>
    <row r="31" spans="1:7" ht="58.5" customHeight="1" outlineLevel="2">
      <c r="A31" s="115" t="s">
        <v>363</v>
      </c>
      <c r="B31" s="111"/>
      <c r="C31" s="110">
        <v>6464553.69</v>
      </c>
      <c r="D31" s="111"/>
      <c r="E31" s="111"/>
      <c r="F31" s="111"/>
      <c r="G31" s="110">
        <v>6464553.69</v>
      </c>
    </row>
    <row r="32" spans="1:7" ht="12" customHeight="1">
      <c r="A32" s="106" t="s">
        <v>220</v>
      </c>
      <c r="B32" s="246">
        <v>209302910.32</v>
      </c>
      <c r="C32" s="108"/>
      <c r="D32" s="246">
        <v>1951256695.31</v>
      </c>
      <c r="E32" s="246">
        <v>1862395321.73</v>
      </c>
      <c r="F32" s="246">
        <v>298164283.9</v>
      </c>
      <c r="G32" s="108"/>
    </row>
    <row r="33" spans="1:7" ht="12" customHeight="1" outlineLevel="1">
      <c r="A33" s="112" t="s">
        <v>221</v>
      </c>
      <c r="B33" s="113">
        <v>209259712.67</v>
      </c>
      <c r="C33" s="114"/>
      <c r="D33" s="113">
        <v>411183568.39</v>
      </c>
      <c r="E33" s="113">
        <v>322458958.3</v>
      </c>
      <c r="F33" s="113">
        <v>297984322.76</v>
      </c>
      <c r="G33" s="114"/>
    </row>
    <row r="34" spans="1:7" ht="12" customHeight="1" outlineLevel="2">
      <c r="A34" s="119" t="s">
        <v>221</v>
      </c>
      <c r="B34" s="114"/>
      <c r="C34" s="114"/>
      <c r="D34" s="113">
        <v>365470</v>
      </c>
      <c r="E34" s="114"/>
      <c r="F34" s="113">
        <v>365470</v>
      </c>
      <c r="G34" s="114"/>
    </row>
    <row r="35" spans="1:7" ht="12" customHeight="1" outlineLevel="2">
      <c r="A35" s="115" t="s">
        <v>222</v>
      </c>
      <c r="B35" s="110">
        <v>176712696.49</v>
      </c>
      <c r="C35" s="111"/>
      <c r="D35" s="110">
        <v>256297928.42</v>
      </c>
      <c r="E35" s="110">
        <v>200659054.97</v>
      </c>
      <c r="F35" s="110">
        <v>232351569.94</v>
      </c>
      <c r="G35" s="111"/>
    </row>
    <row r="36" spans="1:7" ht="12" customHeight="1" outlineLevel="2">
      <c r="A36" s="115" t="s">
        <v>223</v>
      </c>
      <c r="B36" s="110">
        <v>2898906.65</v>
      </c>
      <c r="C36" s="111"/>
      <c r="D36" s="110">
        <v>109527024.56</v>
      </c>
      <c r="E36" s="110">
        <v>87585024.58</v>
      </c>
      <c r="F36" s="110">
        <v>24840906.63</v>
      </c>
      <c r="G36" s="111"/>
    </row>
    <row r="37" spans="1:7" ht="12" customHeight="1" outlineLevel="2">
      <c r="A37" s="115" t="s">
        <v>224</v>
      </c>
      <c r="B37" s="110">
        <v>8900605.9</v>
      </c>
      <c r="C37" s="111"/>
      <c r="D37" s="110">
        <v>13581385.29</v>
      </c>
      <c r="E37" s="110">
        <v>11018881.31</v>
      </c>
      <c r="F37" s="110">
        <v>11463109.88</v>
      </c>
      <c r="G37" s="111"/>
    </row>
    <row r="38" spans="1:7" ht="24" customHeight="1" outlineLevel="2">
      <c r="A38" s="115" t="s">
        <v>225</v>
      </c>
      <c r="B38" s="110">
        <v>13471238.32</v>
      </c>
      <c r="C38" s="111"/>
      <c r="D38" s="110">
        <v>15597125.12</v>
      </c>
      <c r="E38" s="110">
        <v>11576966.49</v>
      </c>
      <c r="F38" s="110">
        <v>17491396.95</v>
      </c>
      <c r="G38" s="111"/>
    </row>
    <row r="39" spans="1:7" ht="24" customHeight="1" outlineLevel="2">
      <c r="A39" s="115" t="s">
        <v>226</v>
      </c>
      <c r="B39" s="110">
        <v>15917854.4</v>
      </c>
      <c r="C39" s="111"/>
      <c r="D39" s="110">
        <v>15814635</v>
      </c>
      <c r="E39" s="110">
        <v>11768571.24</v>
      </c>
      <c r="F39" s="110">
        <v>19963918.16</v>
      </c>
      <c r="G39" s="111"/>
    </row>
    <row r="40" spans="1:7" ht="24" customHeight="1" outlineLevel="2">
      <c r="A40" s="115" t="s">
        <v>227</v>
      </c>
      <c r="B40" s="118">
        <v>-8641589.09</v>
      </c>
      <c r="C40" s="111"/>
      <c r="D40" s="111"/>
      <c r="E40" s="118">
        <v>-149540.29</v>
      </c>
      <c r="F40" s="118">
        <v>-8492048.8</v>
      </c>
      <c r="G40" s="111"/>
    </row>
    <row r="41" spans="1:7" ht="12" customHeight="1" outlineLevel="1">
      <c r="A41" s="109" t="s">
        <v>228</v>
      </c>
      <c r="B41" s="111"/>
      <c r="C41" s="111"/>
      <c r="D41" s="110">
        <v>1539063797.84</v>
      </c>
      <c r="E41" s="110">
        <v>1539063797.84</v>
      </c>
      <c r="F41" s="111"/>
      <c r="G41" s="111"/>
    </row>
    <row r="42" spans="1:7" ht="24" customHeight="1" outlineLevel="2">
      <c r="A42" s="115" t="s">
        <v>229</v>
      </c>
      <c r="B42" s="111"/>
      <c r="C42" s="111"/>
      <c r="D42" s="110">
        <v>1539063797.84</v>
      </c>
      <c r="E42" s="110">
        <v>1539063797.84</v>
      </c>
      <c r="F42" s="111"/>
      <c r="G42" s="111"/>
    </row>
    <row r="43" spans="1:7" ht="12" customHeight="1" outlineLevel="1">
      <c r="A43" s="109" t="s">
        <v>230</v>
      </c>
      <c r="B43" s="110">
        <v>43197.65</v>
      </c>
      <c r="C43" s="111"/>
      <c r="D43" s="110">
        <v>1009329.08</v>
      </c>
      <c r="E43" s="110">
        <v>872565.59</v>
      </c>
      <c r="F43" s="110">
        <v>179961.14</v>
      </c>
      <c r="G43" s="111"/>
    </row>
    <row r="44" spans="1:7" ht="12" customHeight="1">
      <c r="A44" s="106" t="s">
        <v>231</v>
      </c>
      <c r="B44" s="246">
        <v>284516047.67</v>
      </c>
      <c r="C44" s="108"/>
      <c r="D44" s="246">
        <v>323671755.46</v>
      </c>
      <c r="E44" s="246">
        <v>607260076.42</v>
      </c>
      <c r="F44" s="246">
        <v>927726.71</v>
      </c>
      <c r="G44" s="108"/>
    </row>
    <row r="45" spans="1:7" ht="24" customHeight="1" outlineLevel="1">
      <c r="A45" s="109" t="s">
        <v>232</v>
      </c>
      <c r="B45" s="110">
        <v>46123063.79</v>
      </c>
      <c r="C45" s="111"/>
      <c r="D45" s="111"/>
      <c r="E45" s="110">
        <v>45946131</v>
      </c>
      <c r="F45" s="110">
        <v>176932.79</v>
      </c>
      <c r="G45" s="111"/>
    </row>
    <row r="46" spans="1:7" ht="24" customHeight="1" outlineLevel="1">
      <c r="A46" s="112" t="s">
        <v>233</v>
      </c>
      <c r="B46" s="113">
        <v>238253653.51</v>
      </c>
      <c r="C46" s="114"/>
      <c r="D46" s="113">
        <v>322440174.91</v>
      </c>
      <c r="E46" s="113">
        <v>560693828.42</v>
      </c>
      <c r="F46" s="114"/>
      <c r="G46" s="114"/>
    </row>
    <row r="47" spans="1:7" ht="24" customHeight="1" outlineLevel="2">
      <c r="A47" s="119" t="s">
        <v>233</v>
      </c>
      <c r="B47" s="113">
        <v>5743517.66</v>
      </c>
      <c r="C47" s="114"/>
      <c r="D47" s="114"/>
      <c r="E47" s="114"/>
      <c r="F47" s="113">
        <v>5743517.66</v>
      </c>
      <c r="G47" s="114"/>
    </row>
    <row r="48" spans="1:7" ht="24" customHeight="1" outlineLevel="2">
      <c r="A48" s="115" t="s">
        <v>234</v>
      </c>
      <c r="B48" s="110">
        <v>232510135.85</v>
      </c>
      <c r="C48" s="111"/>
      <c r="D48" s="110">
        <v>322440174.91</v>
      </c>
      <c r="E48" s="110">
        <v>560693828.42</v>
      </c>
      <c r="F48" s="118">
        <v>-5743517.66</v>
      </c>
      <c r="G48" s="111"/>
    </row>
    <row r="49" spans="1:7" ht="36" customHeight="1" outlineLevel="1">
      <c r="A49" s="109" t="s">
        <v>235</v>
      </c>
      <c r="B49" s="110">
        <v>139330.37</v>
      </c>
      <c r="C49" s="111"/>
      <c r="D49" s="110">
        <v>1231580.55</v>
      </c>
      <c r="E49" s="110">
        <v>620117</v>
      </c>
      <c r="F49" s="110">
        <v>750793.92</v>
      </c>
      <c r="G49" s="111"/>
    </row>
    <row r="50" spans="1:7" ht="24" customHeight="1">
      <c r="A50" s="106" t="s">
        <v>236</v>
      </c>
      <c r="B50" s="246">
        <v>324325957.8</v>
      </c>
      <c r="C50" s="108"/>
      <c r="D50" s="246">
        <v>2104682190.54</v>
      </c>
      <c r="E50" s="246">
        <v>2258884083.07</v>
      </c>
      <c r="F50" s="246">
        <v>170124065.27</v>
      </c>
      <c r="G50" s="108"/>
    </row>
    <row r="51" spans="1:7" ht="24" customHeight="1" outlineLevel="1">
      <c r="A51" s="109" t="s">
        <v>237</v>
      </c>
      <c r="B51" s="110">
        <v>316240122.91</v>
      </c>
      <c r="C51" s="111"/>
      <c r="D51" s="110">
        <v>2094545134.54</v>
      </c>
      <c r="E51" s="110">
        <v>2247657334.67</v>
      </c>
      <c r="F51" s="110">
        <v>163127922.78</v>
      </c>
      <c r="G51" s="111"/>
    </row>
    <row r="52" spans="1:7" ht="58.5" customHeight="1" outlineLevel="2">
      <c r="A52" s="115" t="s">
        <v>238</v>
      </c>
      <c r="B52" s="110">
        <v>305345004.42</v>
      </c>
      <c r="C52" s="111"/>
      <c r="D52" s="110">
        <v>2008034361.42</v>
      </c>
      <c r="E52" s="110">
        <v>2161762299.31</v>
      </c>
      <c r="F52" s="110">
        <v>151617066.53</v>
      </c>
      <c r="G52" s="111"/>
    </row>
    <row r="53" spans="1:7" ht="58.5" customHeight="1" outlineLevel="2">
      <c r="A53" s="115" t="s">
        <v>239</v>
      </c>
      <c r="B53" s="110">
        <v>2461902.8</v>
      </c>
      <c r="C53" s="111"/>
      <c r="D53" s="110">
        <v>1779600</v>
      </c>
      <c r="E53" s="110">
        <v>1779600</v>
      </c>
      <c r="F53" s="110">
        <v>2461902.8</v>
      </c>
      <c r="G53" s="111"/>
    </row>
    <row r="54" spans="1:7" ht="58.5" customHeight="1" outlineLevel="2">
      <c r="A54" s="115" t="s">
        <v>240</v>
      </c>
      <c r="B54" s="110">
        <v>8433215.69</v>
      </c>
      <c r="C54" s="111"/>
      <c r="D54" s="110">
        <v>84731173.12</v>
      </c>
      <c r="E54" s="110">
        <v>84115435.36</v>
      </c>
      <c r="F54" s="110">
        <v>9048953.45</v>
      </c>
      <c r="G54" s="111"/>
    </row>
    <row r="55" spans="1:7" ht="24" customHeight="1" outlineLevel="1">
      <c r="A55" s="109" t="s">
        <v>241</v>
      </c>
      <c r="B55" s="110">
        <v>8085834.89</v>
      </c>
      <c r="C55" s="111"/>
      <c r="D55" s="110">
        <v>10137056</v>
      </c>
      <c r="E55" s="110">
        <v>11226748.4</v>
      </c>
      <c r="F55" s="110">
        <v>6996142.49</v>
      </c>
      <c r="G55" s="111"/>
    </row>
    <row r="56" spans="1:7" ht="24" customHeight="1">
      <c r="A56" s="106" t="s">
        <v>242</v>
      </c>
      <c r="B56" s="246">
        <v>110193231.46</v>
      </c>
      <c r="C56" s="108"/>
      <c r="D56" s="246">
        <v>830761.93</v>
      </c>
      <c r="E56" s="246">
        <v>16317076.29</v>
      </c>
      <c r="F56" s="246">
        <v>94706917.1</v>
      </c>
      <c r="G56" s="108"/>
    </row>
    <row r="57" spans="1:7" ht="24" customHeight="1" outlineLevel="1">
      <c r="A57" s="109" t="s">
        <v>243</v>
      </c>
      <c r="B57" s="110">
        <v>110193231.46</v>
      </c>
      <c r="C57" s="111"/>
      <c r="D57" s="110">
        <v>830761.93</v>
      </c>
      <c r="E57" s="110">
        <v>16317076.29</v>
      </c>
      <c r="F57" s="110">
        <v>94706917.1</v>
      </c>
      <c r="G57" s="111"/>
    </row>
    <row r="58" spans="1:7" ht="24" customHeight="1" outlineLevel="2">
      <c r="A58" s="115" t="s">
        <v>244</v>
      </c>
      <c r="B58" s="110">
        <v>110193231.46</v>
      </c>
      <c r="C58" s="111"/>
      <c r="D58" s="110">
        <v>830761.93</v>
      </c>
      <c r="E58" s="110">
        <v>16317076.29</v>
      </c>
      <c r="F58" s="110">
        <v>94706917.1</v>
      </c>
      <c r="G58" s="111"/>
    </row>
    <row r="59" spans="1:7" ht="12" customHeight="1">
      <c r="A59" s="106" t="s">
        <v>245</v>
      </c>
      <c r="B59" s="246">
        <v>22195987908.52</v>
      </c>
      <c r="C59" s="108"/>
      <c r="D59" s="246">
        <v>29032907</v>
      </c>
      <c r="E59" s="246">
        <v>741219990.4</v>
      </c>
      <c r="F59" s="246">
        <v>21483800825.12</v>
      </c>
      <c r="G59" s="108"/>
    </row>
    <row r="60" spans="1:7" ht="24" customHeight="1" outlineLevel="1">
      <c r="A60" s="112" t="s">
        <v>246</v>
      </c>
      <c r="B60" s="113">
        <v>115595496021.02</v>
      </c>
      <c r="C60" s="114"/>
      <c r="D60" s="113">
        <v>28267373</v>
      </c>
      <c r="E60" s="113">
        <v>2745857.4</v>
      </c>
      <c r="F60" s="113">
        <v>115621017536.62</v>
      </c>
      <c r="G60" s="114"/>
    </row>
    <row r="61" spans="1:7" ht="12" customHeight="1" outlineLevel="2">
      <c r="A61" s="115" t="s">
        <v>247</v>
      </c>
      <c r="B61" s="110">
        <v>1972608577.12</v>
      </c>
      <c r="C61" s="111"/>
      <c r="D61" s="110">
        <v>1800000</v>
      </c>
      <c r="E61" s="111"/>
      <c r="F61" s="110">
        <v>1974408577.12</v>
      </c>
      <c r="G61" s="111"/>
    </row>
    <row r="62" spans="1:7" ht="24" customHeight="1" outlineLevel="2">
      <c r="A62" s="115" t="s">
        <v>248</v>
      </c>
      <c r="B62" s="110">
        <v>113053963683.3</v>
      </c>
      <c r="C62" s="111"/>
      <c r="D62" s="110">
        <v>9519923</v>
      </c>
      <c r="E62" s="110">
        <v>2745857.4</v>
      </c>
      <c r="F62" s="110">
        <v>113060737748.9</v>
      </c>
      <c r="G62" s="111"/>
    </row>
    <row r="63" spans="1:7" ht="12" customHeight="1" outlineLevel="2">
      <c r="A63" s="115" t="s">
        <v>249</v>
      </c>
      <c r="B63" s="110">
        <v>364394962.88</v>
      </c>
      <c r="C63" s="111"/>
      <c r="D63" s="111"/>
      <c r="E63" s="111"/>
      <c r="F63" s="110">
        <v>364394962.88</v>
      </c>
      <c r="G63" s="111"/>
    </row>
    <row r="64" spans="1:7" ht="12" customHeight="1" outlineLevel="2">
      <c r="A64" s="115" t="s">
        <v>250</v>
      </c>
      <c r="B64" s="110">
        <v>204528797.72</v>
      </c>
      <c r="C64" s="111"/>
      <c r="D64" s="110">
        <v>16947450</v>
      </c>
      <c r="E64" s="111"/>
      <c r="F64" s="110">
        <v>221476247.72</v>
      </c>
      <c r="G64" s="111"/>
    </row>
    <row r="65" spans="1:7" ht="24" customHeight="1" outlineLevel="1">
      <c r="A65" s="112" t="s">
        <v>251</v>
      </c>
      <c r="B65" s="114"/>
      <c r="C65" s="113">
        <v>93399508112.5</v>
      </c>
      <c r="D65" s="113">
        <v>765534</v>
      </c>
      <c r="E65" s="113">
        <v>738474133</v>
      </c>
      <c r="F65" s="114"/>
      <c r="G65" s="113">
        <v>94137216711.5</v>
      </c>
    </row>
    <row r="66" spans="1:7" ht="24" customHeight="1" outlineLevel="2">
      <c r="A66" s="115" t="s">
        <v>252</v>
      </c>
      <c r="B66" s="111"/>
      <c r="C66" s="110">
        <v>1108046464.26</v>
      </c>
      <c r="D66" s="111"/>
      <c r="E66" s="110">
        <v>23977161</v>
      </c>
      <c r="F66" s="111"/>
      <c r="G66" s="110">
        <v>1132023625.26</v>
      </c>
    </row>
    <row r="67" spans="1:7" ht="36" customHeight="1" outlineLevel="2">
      <c r="A67" s="115" t="s">
        <v>253</v>
      </c>
      <c r="B67" s="111"/>
      <c r="C67" s="110">
        <v>92061093151.36</v>
      </c>
      <c r="D67" s="110">
        <v>765534</v>
      </c>
      <c r="E67" s="110">
        <v>673883422</v>
      </c>
      <c r="F67" s="111"/>
      <c r="G67" s="110">
        <v>92734211039.36</v>
      </c>
    </row>
    <row r="68" spans="1:7" ht="24" customHeight="1" outlineLevel="2">
      <c r="A68" s="115" t="s">
        <v>254</v>
      </c>
      <c r="B68" s="111"/>
      <c r="C68" s="110">
        <v>149088179.92</v>
      </c>
      <c r="D68" s="111"/>
      <c r="E68" s="110">
        <v>24017781</v>
      </c>
      <c r="F68" s="111"/>
      <c r="G68" s="110">
        <v>173105960.92</v>
      </c>
    </row>
    <row r="69" spans="1:7" ht="24" customHeight="1" outlineLevel="2">
      <c r="A69" s="115" t="s">
        <v>255</v>
      </c>
      <c r="B69" s="111"/>
      <c r="C69" s="110">
        <v>81280316.96</v>
      </c>
      <c r="D69" s="111"/>
      <c r="E69" s="110">
        <v>16595769</v>
      </c>
      <c r="F69" s="111"/>
      <c r="G69" s="110">
        <v>97876085.96</v>
      </c>
    </row>
    <row r="70" spans="1:7" ht="12" customHeight="1">
      <c r="A70" s="106" t="s">
        <v>256</v>
      </c>
      <c r="B70" s="246">
        <v>109033556.93</v>
      </c>
      <c r="C70" s="108"/>
      <c r="D70" s="246">
        <v>396000</v>
      </c>
      <c r="E70" s="246">
        <v>13021144.55</v>
      </c>
      <c r="F70" s="246">
        <v>96408412.38</v>
      </c>
      <c r="G70" s="108"/>
    </row>
    <row r="71" spans="1:7" ht="24" customHeight="1" outlineLevel="1">
      <c r="A71" s="112" t="s">
        <v>257</v>
      </c>
      <c r="B71" s="113">
        <v>150499913.18</v>
      </c>
      <c r="C71" s="114"/>
      <c r="D71" s="113">
        <v>396000</v>
      </c>
      <c r="E71" s="114"/>
      <c r="F71" s="113">
        <v>150895913.18</v>
      </c>
      <c r="G71" s="114"/>
    </row>
    <row r="72" spans="1:7" ht="24" customHeight="1" outlineLevel="2">
      <c r="A72" s="115" t="s">
        <v>258</v>
      </c>
      <c r="B72" s="110">
        <v>140333862.78</v>
      </c>
      <c r="C72" s="111"/>
      <c r="D72" s="110">
        <v>396000</v>
      </c>
      <c r="E72" s="111"/>
      <c r="F72" s="110">
        <v>140729862.78</v>
      </c>
      <c r="G72" s="111"/>
    </row>
    <row r="73" spans="1:7" ht="12" customHeight="1" outlineLevel="2">
      <c r="A73" s="115" t="s">
        <v>259</v>
      </c>
      <c r="B73" s="110">
        <v>4272845.04</v>
      </c>
      <c r="C73" s="111"/>
      <c r="D73" s="111"/>
      <c r="E73" s="111"/>
      <c r="F73" s="110">
        <v>4272845.04</v>
      </c>
      <c r="G73" s="111"/>
    </row>
    <row r="74" spans="1:7" ht="24" customHeight="1" outlineLevel="2">
      <c r="A74" s="115" t="s">
        <v>260</v>
      </c>
      <c r="B74" s="110">
        <v>5893205.36</v>
      </c>
      <c r="C74" s="111"/>
      <c r="D74" s="111"/>
      <c r="E74" s="111"/>
      <c r="F74" s="110">
        <v>5893205.36</v>
      </c>
      <c r="G74" s="111"/>
    </row>
    <row r="75" spans="1:7" ht="24" customHeight="1" outlineLevel="1">
      <c r="A75" s="112" t="s">
        <v>261</v>
      </c>
      <c r="B75" s="114"/>
      <c r="C75" s="113">
        <v>41466356.25</v>
      </c>
      <c r="D75" s="114"/>
      <c r="E75" s="113">
        <v>13021144.55</v>
      </c>
      <c r="F75" s="114"/>
      <c r="G75" s="113">
        <v>54487500.8</v>
      </c>
    </row>
    <row r="76" spans="1:7" ht="24" customHeight="1" outlineLevel="2">
      <c r="A76" s="115" t="s">
        <v>262</v>
      </c>
      <c r="B76" s="111"/>
      <c r="C76" s="110">
        <v>37567691.25</v>
      </c>
      <c r="D76" s="111"/>
      <c r="E76" s="110">
        <v>12133381.52</v>
      </c>
      <c r="F76" s="111"/>
      <c r="G76" s="110">
        <v>49701072.77</v>
      </c>
    </row>
    <row r="77" spans="1:7" ht="24" customHeight="1" outlineLevel="2">
      <c r="A77" s="115" t="s">
        <v>263</v>
      </c>
      <c r="B77" s="111"/>
      <c r="C77" s="110">
        <v>1217088</v>
      </c>
      <c r="D77" s="111"/>
      <c r="E77" s="110">
        <v>372107.68</v>
      </c>
      <c r="F77" s="111"/>
      <c r="G77" s="110">
        <v>1589195.68</v>
      </c>
    </row>
    <row r="78" spans="1:7" ht="24" customHeight="1" outlineLevel="2">
      <c r="A78" s="115" t="s">
        <v>264</v>
      </c>
      <c r="B78" s="111"/>
      <c r="C78" s="110">
        <v>2681577</v>
      </c>
      <c r="D78" s="111"/>
      <c r="E78" s="110">
        <v>515655.35</v>
      </c>
      <c r="F78" s="111"/>
      <c r="G78" s="110">
        <v>3197232.35</v>
      </c>
    </row>
    <row r="79" spans="1:7" ht="24" customHeight="1">
      <c r="A79" s="106" t="s">
        <v>265</v>
      </c>
      <c r="B79" s="246">
        <v>309258710.53</v>
      </c>
      <c r="C79" s="108"/>
      <c r="D79" s="246">
        <v>403365154.48</v>
      </c>
      <c r="E79" s="108"/>
      <c r="F79" s="246">
        <v>712623865.01</v>
      </c>
      <c r="G79" s="108"/>
    </row>
    <row r="80" spans="1:7" ht="24" customHeight="1" outlineLevel="1">
      <c r="A80" s="109" t="s">
        <v>590</v>
      </c>
      <c r="B80" s="111"/>
      <c r="C80" s="111"/>
      <c r="D80" s="110">
        <v>1680000</v>
      </c>
      <c r="E80" s="111"/>
      <c r="F80" s="110">
        <v>1680000</v>
      </c>
      <c r="G80" s="111"/>
    </row>
    <row r="81" spans="1:7" ht="24" customHeight="1" outlineLevel="1">
      <c r="A81" s="109" t="s">
        <v>266</v>
      </c>
      <c r="B81" s="110">
        <v>309258710.53</v>
      </c>
      <c r="C81" s="111"/>
      <c r="D81" s="110">
        <v>401685154.48</v>
      </c>
      <c r="E81" s="111"/>
      <c r="F81" s="110">
        <v>710943865.01</v>
      </c>
      <c r="G81" s="111"/>
    </row>
    <row r="82" spans="1:7" ht="24" customHeight="1" outlineLevel="2">
      <c r="A82" s="115" t="s">
        <v>267</v>
      </c>
      <c r="B82" s="110">
        <v>309258710.53</v>
      </c>
      <c r="C82" s="111"/>
      <c r="D82" s="110">
        <v>401685154.48</v>
      </c>
      <c r="E82" s="111"/>
      <c r="F82" s="110">
        <v>710943865.01</v>
      </c>
      <c r="G82" s="111"/>
    </row>
    <row r="83" spans="1:7" ht="24" customHeight="1">
      <c r="A83" s="106" t="s">
        <v>268</v>
      </c>
      <c r="B83" s="108"/>
      <c r="C83" s="246">
        <v>1019124171.36</v>
      </c>
      <c r="D83" s="246">
        <v>2238076696.96</v>
      </c>
      <c r="E83" s="246">
        <v>1417003975.06</v>
      </c>
      <c r="F83" s="108"/>
      <c r="G83" s="246">
        <v>198051449.46</v>
      </c>
    </row>
    <row r="84" spans="1:7" ht="48" customHeight="1" outlineLevel="1">
      <c r="A84" s="109" t="s">
        <v>269</v>
      </c>
      <c r="B84" s="111"/>
      <c r="C84" s="110">
        <v>20142102.14</v>
      </c>
      <c r="D84" s="110">
        <v>433985680.89</v>
      </c>
      <c r="E84" s="110">
        <v>428626254.62</v>
      </c>
      <c r="F84" s="111"/>
      <c r="G84" s="110">
        <v>14782675.87</v>
      </c>
    </row>
    <row r="85" spans="1:7" ht="24" customHeight="1" outlineLevel="2">
      <c r="A85" s="115" t="s">
        <v>270</v>
      </c>
      <c r="B85" s="111"/>
      <c r="C85" s="110">
        <v>9366008.67</v>
      </c>
      <c r="D85" s="110">
        <v>428420000</v>
      </c>
      <c r="E85" s="110">
        <v>428420000</v>
      </c>
      <c r="F85" s="111"/>
      <c r="G85" s="110">
        <v>9366008.67</v>
      </c>
    </row>
    <row r="86" spans="1:7" ht="24" customHeight="1" outlineLevel="2">
      <c r="A86" s="115" t="s">
        <v>271</v>
      </c>
      <c r="B86" s="111"/>
      <c r="C86" s="110">
        <v>10776093.47</v>
      </c>
      <c r="D86" s="110">
        <v>5565680.89</v>
      </c>
      <c r="E86" s="110">
        <v>206254.62</v>
      </c>
      <c r="F86" s="111"/>
      <c r="G86" s="110">
        <v>5416667.2</v>
      </c>
    </row>
    <row r="87" spans="1:7" ht="36" customHeight="1" outlineLevel="1">
      <c r="A87" s="112" t="s">
        <v>272</v>
      </c>
      <c r="B87" s="114"/>
      <c r="C87" s="113">
        <v>998982069.22</v>
      </c>
      <c r="D87" s="113">
        <v>1804091016.07</v>
      </c>
      <c r="E87" s="113">
        <v>988377720.44</v>
      </c>
      <c r="F87" s="114"/>
      <c r="G87" s="113">
        <v>183268773.59</v>
      </c>
    </row>
    <row r="88" spans="1:7" ht="36" customHeight="1" outlineLevel="2">
      <c r="A88" s="119" t="s">
        <v>272</v>
      </c>
      <c r="B88" s="114"/>
      <c r="C88" s="113">
        <v>2383127.64</v>
      </c>
      <c r="D88" s="113">
        <v>2383127.64</v>
      </c>
      <c r="E88" s="114"/>
      <c r="F88" s="114"/>
      <c r="G88" s="114"/>
    </row>
    <row r="89" spans="1:7" ht="24" customHeight="1" outlineLevel="2">
      <c r="A89" s="115" t="s">
        <v>364</v>
      </c>
      <c r="B89" s="111"/>
      <c r="C89" s="110">
        <v>996598941.58</v>
      </c>
      <c r="D89" s="110">
        <v>1801707888.43</v>
      </c>
      <c r="E89" s="110">
        <v>988377720.44</v>
      </c>
      <c r="F89" s="111"/>
      <c r="G89" s="110">
        <v>183268773.59</v>
      </c>
    </row>
    <row r="90" spans="1:7" ht="12" customHeight="1">
      <c r="A90" s="106" t="s">
        <v>273</v>
      </c>
      <c r="B90" s="108"/>
      <c r="C90" s="246">
        <v>3747580.45</v>
      </c>
      <c r="D90" s="246">
        <v>974060450.42</v>
      </c>
      <c r="E90" s="246">
        <v>1024854693.64</v>
      </c>
      <c r="F90" s="108"/>
      <c r="G90" s="246">
        <v>54541823.67</v>
      </c>
    </row>
    <row r="91" spans="1:7" ht="36" customHeight="1" outlineLevel="1">
      <c r="A91" s="109" t="s">
        <v>274</v>
      </c>
      <c r="B91" s="111"/>
      <c r="C91" s="111"/>
      <c r="D91" s="110">
        <v>180706922</v>
      </c>
      <c r="E91" s="110">
        <v>180706922</v>
      </c>
      <c r="F91" s="111"/>
      <c r="G91" s="111"/>
    </row>
    <row r="92" spans="1:7" ht="24" customHeight="1" outlineLevel="1">
      <c r="A92" s="109" t="s">
        <v>275</v>
      </c>
      <c r="B92" s="111"/>
      <c r="C92" s="110">
        <v>963140</v>
      </c>
      <c r="D92" s="110">
        <v>43868239.6</v>
      </c>
      <c r="E92" s="110">
        <v>50260939.6</v>
      </c>
      <c r="F92" s="111"/>
      <c r="G92" s="110">
        <v>7355840</v>
      </c>
    </row>
    <row r="93" spans="1:7" ht="24" customHeight="1" outlineLevel="1">
      <c r="A93" s="109" t="s">
        <v>276</v>
      </c>
      <c r="B93" s="111"/>
      <c r="C93" s="111"/>
      <c r="D93" s="110">
        <v>560693828.42</v>
      </c>
      <c r="E93" s="110">
        <v>601966378.09</v>
      </c>
      <c r="F93" s="111"/>
      <c r="G93" s="110">
        <v>41272549.67</v>
      </c>
    </row>
    <row r="94" spans="1:7" ht="12" customHeight="1" outlineLevel="1">
      <c r="A94" s="109" t="s">
        <v>277</v>
      </c>
      <c r="B94" s="111"/>
      <c r="C94" s="110">
        <v>1389288</v>
      </c>
      <c r="D94" s="110">
        <v>35473816</v>
      </c>
      <c r="E94" s="110">
        <v>39997962</v>
      </c>
      <c r="F94" s="111"/>
      <c r="G94" s="110">
        <v>5913434</v>
      </c>
    </row>
    <row r="95" spans="1:7" ht="12" customHeight="1" outlineLevel="1">
      <c r="A95" s="109" t="s">
        <v>278</v>
      </c>
      <c r="B95" s="111"/>
      <c r="C95" s="111"/>
      <c r="D95" s="110">
        <v>2600484</v>
      </c>
      <c r="E95" s="110">
        <v>2600484</v>
      </c>
      <c r="F95" s="111"/>
      <c r="G95" s="111"/>
    </row>
    <row r="96" spans="1:7" ht="24" customHeight="1" outlineLevel="1">
      <c r="A96" s="109" t="s">
        <v>279</v>
      </c>
      <c r="B96" s="111"/>
      <c r="C96" s="110">
        <v>4327</v>
      </c>
      <c r="D96" s="110">
        <v>1617607</v>
      </c>
      <c r="E96" s="110">
        <v>1613280</v>
      </c>
      <c r="F96" s="111"/>
      <c r="G96" s="111"/>
    </row>
    <row r="97" spans="1:7" ht="12" customHeight="1" outlineLevel="1">
      <c r="A97" s="109" t="s">
        <v>280</v>
      </c>
      <c r="B97" s="111"/>
      <c r="C97" s="110">
        <v>1390825.45</v>
      </c>
      <c r="D97" s="110">
        <v>148108657</v>
      </c>
      <c r="E97" s="110">
        <v>146717831.55</v>
      </c>
      <c r="F97" s="111"/>
      <c r="G97" s="111"/>
    </row>
    <row r="98" spans="1:7" ht="12" customHeight="1" outlineLevel="1">
      <c r="A98" s="109" t="s">
        <v>281</v>
      </c>
      <c r="B98" s="111"/>
      <c r="C98" s="111"/>
      <c r="D98" s="110">
        <v>990896.4</v>
      </c>
      <c r="E98" s="110">
        <v>990896.4</v>
      </c>
      <c r="F98" s="111"/>
      <c r="G98" s="111"/>
    </row>
    <row r="99" spans="1:7" ht="36" customHeight="1">
      <c r="A99" s="106" t="s">
        <v>282</v>
      </c>
      <c r="B99" s="108"/>
      <c r="C99" s="246">
        <v>23092639.2</v>
      </c>
      <c r="D99" s="246">
        <v>98682413.5</v>
      </c>
      <c r="E99" s="246">
        <v>90697320.47</v>
      </c>
      <c r="F99" s="108"/>
      <c r="G99" s="246">
        <v>15107546.17</v>
      </c>
    </row>
    <row r="100" spans="1:7" ht="24" customHeight="1" outlineLevel="1">
      <c r="A100" s="109" t="s">
        <v>283</v>
      </c>
      <c r="B100" s="111"/>
      <c r="C100" s="110">
        <v>5123294.09</v>
      </c>
      <c r="D100" s="110">
        <v>26648583.07</v>
      </c>
      <c r="E100" s="110">
        <v>25263541.54</v>
      </c>
      <c r="F100" s="111"/>
      <c r="G100" s="110">
        <v>3738252.56</v>
      </c>
    </row>
    <row r="101" spans="1:7" ht="24" customHeight="1" outlineLevel="1">
      <c r="A101" s="109" t="s">
        <v>284</v>
      </c>
      <c r="B101" s="111"/>
      <c r="C101" s="110">
        <v>17969345.11</v>
      </c>
      <c r="D101" s="110">
        <v>72033830.43</v>
      </c>
      <c r="E101" s="110">
        <v>65433778.93</v>
      </c>
      <c r="F101" s="111"/>
      <c r="G101" s="110">
        <v>11369293.61</v>
      </c>
    </row>
    <row r="102" spans="1:7" ht="24" customHeight="1">
      <c r="A102" s="106" t="s">
        <v>285</v>
      </c>
      <c r="B102" s="108"/>
      <c r="C102" s="246">
        <v>2282985925.42</v>
      </c>
      <c r="D102" s="246">
        <v>6101604247.8</v>
      </c>
      <c r="E102" s="246">
        <v>4414304415.75</v>
      </c>
      <c r="F102" s="108"/>
      <c r="G102" s="246">
        <v>595686093.37</v>
      </c>
    </row>
    <row r="103" spans="1:7" ht="36" customHeight="1" outlineLevel="1">
      <c r="A103" s="112" t="s">
        <v>286</v>
      </c>
      <c r="B103" s="114"/>
      <c r="C103" s="113">
        <v>2119618722.12</v>
      </c>
      <c r="D103" s="113">
        <v>5113503710.13</v>
      </c>
      <c r="E103" s="113">
        <v>3457214399.79</v>
      </c>
      <c r="F103" s="114"/>
      <c r="G103" s="113">
        <v>463329411.78</v>
      </c>
    </row>
    <row r="104" spans="1:7" ht="12" customHeight="1" outlineLevel="2">
      <c r="A104" s="115" t="s">
        <v>591</v>
      </c>
      <c r="B104" s="111"/>
      <c r="C104" s="111"/>
      <c r="D104" s="111"/>
      <c r="E104" s="110">
        <v>1399809.6</v>
      </c>
      <c r="F104" s="111"/>
      <c r="G104" s="110">
        <v>1399809.6</v>
      </c>
    </row>
    <row r="105" spans="1:7" ht="36" customHeight="1" outlineLevel="2">
      <c r="A105" s="115" t="s">
        <v>287</v>
      </c>
      <c r="B105" s="111"/>
      <c r="C105" s="110">
        <v>29067852.25</v>
      </c>
      <c r="D105" s="110">
        <v>171278288.75</v>
      </c>
      <c r="E105" s="110">
        <v>168447537.24</v>
      </c>
      <c r="F105" s="111"/>
      <c r="G105" s="110">
        <v>26237100.74</v>
      </c>
    </row>
    <row r="106" spans="1:7" ht="36" customHeight="1" outlineLevel="2">
      <c r="A106" s="115" t="s">
        <v>288</v>
      </c>
      <c r="B106" s="111"/>
      <c r="C106" s="110">
        <v>1949796152.84</v>
      </c>
      <c r="D106" s="110">
        <v>2017799024.98</v>
      </c>
      <c r="E106" s="110">
        <v>347647658.28</v>
      </c>
      <c r="F106" s="111"/>
      <c r="G106" s="110">
        <v>279644786.14</v>
      </c>
    </row>
    <row r="107" spans="1:11" ht="36" customHeight="1" outlineLevel="2">
      <c r="A107" s="115" t="s">
        <v>289</v>
      </c>
      <c r="B107" s="111"/>
      <c r="C107" s="110">
        <v>140754717.03</v>
      </c>
      <c r="D107" s="110">
        <v>2924426396.4</v>
      </c>
      <c r="E107" s="110">
        <v>2939719394.67</v>
      </c>
      <c r="F107" s="111"/>
      <c r="G107" s="110">
        <v>156047715.3</v>
      </c>
      <c r="I107" s="299">
        <v>154367715.3</v>
      </c>
      <c r="K107" s="51">
        <f>G107-I107</f>
        <v>1680000</v>
      </c>
    </row>
    <row r="108" spans="1:7" ht="24" customHeight="1" outlineLevel="1">
      <c r="A108" s="109" t="s">
        <v>290</v>
      </c>
      <c r="B108" s="111"/>
      <c r="C108" s="110">
        <v>38815311.82</v>
      </c>
      <c r="D108" s="110">
        <v>679709714.55</v>
      </c>
      <c r="E108" s="110">
        <v>700399686.9</v>
      </c>
      <c r="F108" s="111"/>
      <c r="G108" s="110">
        <v>59505284.17</v>
      </c>
    </row>
    <row r="109" spans="1:7" ht="24" customHeight="1" outlineLevel="1">
      <c r="A109" s="109" t="s">
        <v>291</v>
      </c>
      <c r="B109" s="111"/>
      <c r="C109" s="110">
        <v>78368792.12</v>
      </c>
      <c r="D109" s="110">
        <v>180588974.45</v>
      </c>
      <c r="E109" s="110">
        <v>135465050</v>
      </c>
      <c r="F109" s="111"/>
      <c r="G109" s="110">
        <v>33244867.67</v>
      </c>
    </row>
    <row r="110" spans="1:7" ht="24" customHeight="1" outlineLevel="2">
      <c r="A110" s="115" t="s">
        <v>360</v>
      </c>
      <c r="B110" s="111"/>
      <c r="C110" s="110">
        <v>78368792.12</v>
      </c>
      <c r="D110" s="110">
        <v>180588974.45</v>
      </c>
      <c r="E110" s="110">
        <v>135465050</v>
      </c>
      <c r="F110" s="111"/>
      <c r="G110" s="110">
        <v>33244867.67</v>
      </c>
    </row>
    <row r="111" spans="1:7" ht="24" customHeight="1" outlineLevel="1">
      <c r="A111" s="112" t="s">
        <v>292</v>
      </c>
      <c r="B111" s="114"/>
      <c r="C111" s="113">
        <v>46183099.36</v>
      </c>
      <c r="D111" s="113">
        <v>127801848.67</v>
      </c>
      <c r="E111" s="113">
        <v>121225279.06</v>
      </c>
      <c r="F111" s="114"/>
      <c r="G111" s="113">
        <v>39606529.75</v>
      </c>
    </row>
    <row r="112" spans="1:7" ht="36" customHeight="1" outlineLevel="2">
      <c r="A112" s="115" t="s">
        <v>293</v>
      </c>
      <c r="B112" s="111"/>
      <c r="C112" s="110">
        <v>2421554.84</v>
      </c>
      <c r="D112" s="110">
        <v>2464656.15</v>
      </c>
      <c r="E112" s="110">
        <v>2196045.7</v>
      </c>
      <c r="F112" s="111"/>
      <c r="G112" s="110">
        <v>2152944.39</v>
      </c>
    </row>
    <row r="113" spans="1:7" ht="24" customHeight="1" outlineLevel="2">
      <c r="A113" s="115" t="s">
        <v>294</v>
      </c>
      <c r="B113" s="111"/>
      <c r="C113" s="110">
        <v>1275220</v>
      </c>
      <c r="D113" s="110">
        <v>5148499</v>
      </c>
      <c r="E113" s="110">
        <v>4561329</v>
      </c>
      <c r="F113" s="111"/>
      <c r="G113" s="110">
        <v>688050</v>
      </c>
    </row>
    <row r="114" spans="1:7" ht="24" customHeight="1" outlineLevel="2">
      <c r="A114" s="115" t="s">
        <v>295</v>
      </c>
      <c r="B114" s="111"/>
      <c r="C114" s="110">
        <v>653962</v>
      </c>
      <c r="D114" s="110">
        <v>6662761.23</v>
      </c>
      <c r="E114" s="110">
        <v>6822894.53</v>
      </c>
      <c r="F114" s="111"/>
      <c r="G114" s="110">
        <v>814095.3</v>
      </c>
    </row>
    <row r="115" spans="1:7" ht="24" customHeight="1" outlineLevel="2">
      <c r="A115" s="115" t="s">
        <v>296</v>
      </c>
      <c r="B115" s="111"/>
      <c r="C115" s="110">
        <v>39028331.16</v>
      </c>
      <c r="D115" s="110">
        <v>99321386.29</v>
      </c>
      <c r="E115" s="110">
        <v>93930072.73</v>
      </c>
      <c r="F115" s="111"/>
      <c r="G115" s="110">
        <v>33637017.6</v>
      </c>
    </row>
    <row r="116" spans="1:7" ht="24" customHeight="1" outlineLevel="2">
      <c r="A116" s="115" t="s">
        <v>297</v>
      </c>
      <c r="B116" s="111"/>
      <c r="C116" s="110">
        <v>2118998.36</v>
      </c>
      <c r="D116" s="110">
        <v>12042566</v>
      </c>
      <c r="E116" s="110">
        <v>11567268.1</v>
      </c>
      <c r="F116" s="111"/>
      <c r="G116" s="110">
        <v>1643700.46</v>
      </c>
    </row>
    <row r="117" spans="1:7" ht="24" customHeight="1" outlineLevel="2">
      <c r="A117" s="115" t="s">
        <v>298</v>
      </c>
      <c r="B117" s="111"/>
      <c r="C117" s="110">
        <v>685033</v>
      </c>
      <c r="D117" s="110">
        <v>2161980</v>
      </c>
      <c r="E117" s="110">
        <v>2147669</v>
      </c>
      <c r="F117" s="111"/>
      <c r="G117" s="110">
        <v>670722</v>
      </c>
    </row>
    <row r="118" spans="1:7" ht="24" customHeight="1">
      <c r="A118" s="106" t="s">
        <v>299</v>
      </c>
      <c r="B118" s="108"/>
      <c r="C118" s="246">
        <v>112982721</v>
      </c>
      <c r="D118" s="108"/>
      <c r="E118" s="246">
        <v>11639193</v>
      </c>
      <c r="F118" s="108"/>
      <c r="G118" s="246">
        <v>124621914</v>
      </c>
    </row>
    <row r="119" spans="1:7" ht="36" customHeight="1" outlineLevel="1">
      <c r="A119" s="109" t="s">
        <v>300</v>
      </c>
      <c r="B119" s="111"/>
      <c r="C119" s="110">
        <v>112982721</v>
      </c>
      <c r="D119" s="111"/>
      <c r="E119" s="110">
        <v>11639193</v>
      </c>
      <c r="F119" s="111"/>
      <c r="G119" s="110">
        <v>124621914</v>
      </c>
    </row>
    <row r="120" spans="1:7" ht="36" customHeight="1" outlineLevel="2">
      <c r="A120" s="115" t="s">
        <v>361</v>
      </c>
      <c r="B120" s="111"/>
      <c r="C120" s="110">
        <v>112982721</v>
      </c>
      <c r="D120" s="111"/>
      <c r="E120" s="110">
        <v>11639193</v>
      </c>
      <c r="F120" s="111"/>
      <c r="G120" s="110">
        <v>124621914</v>
      </c>
    </row>
    <row r="121" spans="1:7" ht="24" customHeight="1">
      <c r="A121" s="106" t="s">
        <v>301</v>
      </c>
      <c r="B121" s="108"/>
      <c r="C121" s="246">
        <v>692541251.43</v>
      </c>
      <c r="D121" s="246">
        <v>4921807562.48</v>
      </c>
      <c r="E121" s="246">
        <v>5038890793.23</v>
      </c>
      <c r="F121" s="108"/>
      <c r="G121" s="246">
        <v>809624482.18</v>
      </c>
    </row>
    <row r="122" spans="1:7" ht="24" customHeight="1" outlineLevel="1">
      <c r="A122" s="109" t="s">
        <v>302</v>
      </c>
      <c r="B122" s="111"/>
      <c r="C122" s="110">
        <v>692541251.43</v>
      </c>
      <c r="D122" s="110">
        <v>4921807562.48</v>
      </c>
      <c r="E122" s="110">
        <v>5038890793.23</v>
      </c>
      <c r="F122" s="111"/>
      <c r="G122" s="110">
        <v>809624482.18</v>
      </c>
    </row>
    <row r="123" spans="1:7" ht="24" customHeight="1" outlineLevel="2">
      <c r="A123" s="115" t="s">
        <v>302</v>
      </c>
      <c r="B123" s="111"/>
      <c r="C123" s="110">
        <v>20000</v>
      </c>
      <c r="D123" s="111"/>
      <c r="E123" s="111"/>
      <c r="F123" s="111"/>
      <c r="G123" s="110">
        <v>20000</v>
      </c>
    </row>
    <row r="124" spans="1:7" ht="48" customHeight="1" outlineLevel="2">
      <c r="A124" s="115" t="s">
        <v>303</v>
      </c>
      <c r="B124" s="111"/>
      <c r="C124" s="110">
        <v>666969945.83</v>
      </c>
      <c r="D124" s="110">
        <v>4835207578.67</v>
      </c>
      <c r="E124" s="110">
        <v>4942485342.860001</v>
      </c>
      <c r="F124" s="111"/>
      <c r="G124" s="110">
        <v>774247710.02</v>
      </c>
    </row>
    <row r="125" spans="1:7" ht="12" customHeight="1" outlineLevel="2">
      <c r="A125" s="115" t="s">
        <v>304</v>
      </c>
      <c r="B125" s="111"/>
      <c r="C125" s="110">
        <v>25551305.6</v>
      </c>
      <c r="D125" s="110">
        <v>86599983.81</v>
      </c>
      <c r="E125" s="110">
        <v>96405450.37</v>
      </c>
      <c r="F125" s="111"/>
      <c r="G125" s="110">
        <v>35356772.16</v>
      </c>
    </row>
    <row r="126" spans="1:7" ht="24" customHeight="1">
      <c r="A126" s="106" t="s">
        <v>305</v>
      </c>
      <c r="B126" s="108"/>
      <c r="C126" s="246">
        <v>3970838197.16</v>
      </c>
      <c r="D126" s="246">
        <v>736330758.52</v>
      </c>
      <c r="E126" s="246">
        <v>2279636222.4</v>
      </c>
      <c r="F126" s="108"/>
      <c r="G126" s="246">
        <v>5514143661.039999</v>
      </c>
    </row>
    <row r="127" spans="1:7" ht="58.5" customHeight="1" outlineLevel="1">
      <c r="A127" s="109" t="s">
        <v>306</v>
      </c>
      <c r="B127" s="111"/>
      <c r="C127" s="110">
        <v>2262679428.15</v>
      </c>
      <c r="D127" s="110">
        <v>604729222.4</v>
      </c>
      <c r="E127" s="110">
        <v>2181598926</v>
      </c>
      <c r="F127" s="111"/>
      <c r="G127" s="110">
        <v>3839549131.75</v>
      </c>
    </row>
    <row r="128" spans="1:7" ht="24" customHeight="1" outlineLevel="2">
      <c r="A128" s="115" t="s">
        <v>307</v>
      </c>
      <c r="B128" s="111"/>
      <c r="C128" s="110">
        <v>582679428.15</v>
      </c>
      <c r="D128" s="110">
        <v>604729222.4</v>
      </c>
      <c r="E128" s="110">
        <v>576398926</v>
      </c>
      <c r="F128" s="111"/>
      <c r="G128" s="110">
        <v>554349131.75</v>
      </c>
    </row>
    <row r="129" spans="1:7" ht="12" customHeight="1" outlineLevel="2">
      <c r="A129" s="115" t="s">
        <v>308</v>
      </c>
      <c r="B129" s="111"/>
      <c r="C129" s="110">
        <v>1680000000</v>
      </c>
      <c r="D129" s="111"/>
      <c r="E129" s="110">
        <v>1605200000</v>
      </c>
      <c r="F129" s="111"/>
      <c r="G129" s="110">
        <v>3285200000</v>
      </c>
    </row>
    <row r="130" spans="1:7" ht="24" customHeight="1" outlineLevel="1">
      <c r="A130" s="112" t="s">
        <v>309</v>
      </c>
      <c r="B130" s="114"/>
      <c r="C130" s="113">
        <v>1708158769.01</v>
      </c>
      <c r="D130" s="113">
        <v>131601536.12</v>
      </c>
      <c r="E130" s="113">
        <v>98037296.4</v>
      </c>
      <c r="F130" s="114"/>
      <c r="G130" s="113">
        <v>1674594529.29</v>
      </c>
    </row>
    <row r="131" spans="1:7" ht="24" customHeight="1" outlineLevel="2">
      <c r="A131" s="115" t="s">
        <v>310</v>
      </c>
      <c r="B131" s="111"/>
      <c r="C131" s="110">
        <v>43999948</v>
      </c>
      <c r="D131" s="111"/>
      <c r="E131" s="111"/>
      <c r="F131" s="111"/>
      <c r="G131" s="110">
        <v>43999948</v>
      </c>
    </row>
    <row r="132" spans="1:7" ht="12" customHeight="1" outlineLevel="2">
      <c r="A132" s="115" t="s">
        <v>311</v>
      </c>
      <c r="B132" s="111"/>
      <c r="C132" s="110">
        <v>1664158821.01</v>
      </c>
      <c r="D132" s="110">
        <v>131601536.12</v>
      </c>
      <c r="E132" s="110">
        <v>98037296.4</v>
      </c>
      <c r="F132" s="111"/>
      <c r="G132" s="110">
        <v>1630594581.29</v>
      </c>
    </row>
    <row r="133" spans="1:7" ht="24" customHeight="1">
      <c r="A133" s="106" t="s">
        <v>312</v>
      </c>
      <c r="B133" s="108"/>
      <c r="C133" s="246">
        <v>57306299</v>
      </c>
      <c r="D133" s="108"/>
      <c r="E133" s="246">
        <v>1591734</v>
      </c>
      <c r="F133" s="108"/>
      <c r="G133" s="246">
        <v>58898033</v>
      </c>
    </row>
    <row r="134" spans="1:7" ht="36" customHeight="1" outlineLevel="1">
      <c r="A134" s="109" t="s">
        <v>313</v>
      </c>
      <c r="B134" s="111"/>
      <c r="C134" s="110">
        <v>57306299</v>
      </c>
      <c r="D134" s="111"/>
      <c r="E134" s="110">
        <v>1591734</v>
      </c>
      <c r="F134" s="111"/>
      <c r="G134" s="110">
        <v>58898033</v>
      </c>
    </row>
    <row r="135" spans="1:7" ht="24" customHeight="1">
      <c r="A135" s="106" t="s">
        <v>314</v>
      </c>
      <c r="B135" s="108"/>
      <c r="C135" s="246">
        <v>2865932800</v>
      </c>
      <c r="D135" s="108"/>
      <c r="E135" s="120">
        <v>-23615104</v>
      </c>
      <c r="F135" s="108"/>
      <c r="G135" s="246">
        <v>2842317696</v>
      </c>
    </row>
    <row r="136" spans="1:7" ht="48" customHeight="1" outlineLevel="1">
      <c r="A136" s="109" t="s">
        <v>315</v>
      </c>
      <c r="B136" s="111"/>
      <c r="C136" s="110">
        <v>2865932800</v>
      </c>
      <c r="D136" s="111"/>
      <c r="E136" s="118">
        <v>-23615104</v>
      </c>
      <c r="F136" s="111"/>
      <c r="G136" s="110">
        <v>2842317696</v>
      </c>
    </row>
    <row r="137" spans="1:7" ht="12" customHeight="1">
      <c r="A137" s="106" t="s">
        <v>316</v>
      </c>
      <c r="B137" s="108"/>
      <c r="C137" s="246">
        <v>1188015776.5</v>
      </c>
      <c r="D137" s="108"/>
      <c r="E137" s="108"/>
      <c r="F137" s="108"/>
      <c r="G137" s="246">
        <v>1188015776.5</v>
      </c>
    </row>
    <row r="138" spans="1:7" ht="12" customHeight="1" outlineLevel="1">
      <c r="A138" s="109" t="s">
        <v>317</v>
      </c>
      <c r="B138" s="111"/>
      <c r="C138" s="110">
        <v>12319172</v>
      </c>
      <c r="D138" s="111"/>
      <c r="E138" s="111"/>
      <c r="F138" s="111"/>
      <c r="G138" s="110">
        <v>12319172</v>
      </c>
    </row>
    <row r="139" spans="1:7" ht="12" customHeight="1" outlineLevel="1">
      <c r="A139" s="109" t="s">
        <v>318</v>
      </c>
      <c r="B139" s="111"/>
      <c r="C139" s="110">
        <v>1175696604.5</v>
      </c>
      <c r="D139" s="111"/>
      <c r="E139" s="111"/>
      <c r="F139" s="111"/>
      <c r="G139" s="110">
        <v>1175696604.5</v>
      </c>
    </row>
    <row r="140" spans="1:7" ht="24" customHeight="1">
      <c r="A140" s="106" t="s">
        <v>319</v>
      </c>
      <c r="B140" s="108"/>
      <c r="C140" s="120">
        <v>-38923576.4</v>
      </c>
      <c r="D140" s="108"/>
      <c r="E140" s="108"/>
      <c r="F140" s="108"/>
      <c r="G140" s="120">
        <v>-38923576.4</v>
      </c>
    </row>
    <row r="141" spans="1:7" ht="24" customHeight="1" outlineLevel="1">
      <c r="A141" s="109" t="s">
        <v>320</v>
      </c>
      <c r="B141" s="111"/>
      <c r="C141" s="118">
        <v>-38923576.4</v>
      </c>
      <c r="D141" s="111"/>
      <c r="E141" s="111"/>
      <c r="F141" s="111"/>
      <c r="G141" s="118">
        <v>-38923576.4</v>
      </c>
    </row>
    <row r="142" spans="1:7" ht="12" customHeight="1">
      <c r="A142" s="106" t="s">
        <v>365</v>
      </c>
      <c r="B142" s="108"/>
      <c r="C142" s="246">
        <v>524746000</v>
      </c>
      <c r="D142" s="108"/>
      <c r="E142" s="108"/>
      <c r="F142" s="108"/>
      <c r="G142" s="246">
        <v>524746000</v>
      </c>
    </row>
    <row r="143" spans="1:7" ht="12" customHeight="1" outlineLevel="1">
      <c r="A143" s="109" t="s">
        <v>366</v>
      </c>
      <c r="B143" s="111"/>
      <c r="C143" s="110">
        <v>524746000</v>
      </c>
      <c r="D143" s="111"/>
      <c r="E143" s="111"/>
      <c r="F143" s="111"/>
      <c r="G143" s="110">
        <v>524746000</v>
      </c>
    </row>
    <row r="144" spans="1:7" ht="12" customHeight="1">
      <c r="A144" s="106" t="s">
        <v>321</v>
      </c>
      <c r="B144" s="108"/>
      <c r="C144" s="246">
        <v>7754455499.2</v>
      </c>
      <c r="D144" s="246">
        <v>345004676</v>
      </c>
      <c r="E144" s="108"/>
      <c r="F144" s="108"/>
      <c r="G144" s="246">
        <v>7409450823.2</v>
      </c>
    </row>
    <row r="145" spans="1:7" ht="36" customHeight="1" outlineLevel="1">
      <c r="A145" s="109" t="s">
        <v>322</v>
      </c>
      <c r="B145" s="111"/>
      <c r="C145" s="110">
        <v>7754455499.2</v>
      </c>
      <c r="D145" s="110">
        <v>345004676</v>
      </c>
      <c r="E145" s="111"/>
      <c r="F145" s="111"/>
      <c r="G145" s="110">
        <v>7409450823.2</v>
      </c>
    </row>
    <row r="146" spans="1:7" ht="24" customHeight="1">
      <c r="A146" s="106" t="s">
        <v>323</v>
      </c>
      <c r="B146" s="108"/>
      <c r="C146" s="246">
        <v>5024691277.38</v>
      </c>
      <c r="D146" s="246">
        <v>1585046259.47</v>
      </c>
      <c r="E146" s="246">
        <v>2149355045.28</v>
      </c>
      <c r="F146" s="108"/>
      <c r="G146" s="246">
        <v>5589000063.190001</v>
      </c>
    </row>
    <row r="147" spans="1:7" ht="36" customHeight="1" outlineLevel="1">
      <c r="A147" s="109" t="s">
        <v>324</v>
      </c>
      <c r="B147" s="111"/>
      <c r="C147" s="110">
        <v>1156626259.47</v>
      </c>
      <c r="D147" s="110">
        <v>1156626259.47</v>
      </c>
      <c r="E147" s="110">
        <v>647724109.81</v>
      </c>
      <c r="F147" s="111"/>
      <c r="G147" s="110">
        <v>647724109.81</v>
      </c>
    </row>
    <row r="148" spans="1:7" ht="36" customHeight="1" outlineLevel="1">
      <c r="A148" s="109" t="s">
        <v>367</v>
      </c>
      <c r="B148" s="111"/>
      <c r="C148" s="110">
        <v>3868065017.91</v>
      </c>
      <c r="D148" s="110">
        <v>428420000</v>
      </c>
      <c r="E148" s="110">
        <v>1501630935.47</v>
      </c>
      <c r="F148" s="111"/>
      <c r="G148" s="110">
        <v>4941275953.38</v>
      </c>
    </row>
    <row r="149" spans="1:7" ht="24" customHeight="1">
      <c r="A149" s="106" t="s">
        <v>325</v>
      </c>
      <c r="B149" s="108"/>
      <c r="C149" s="108"/>
      <c r="D149" s="246">
        <v>5078280154.01</v>
      </c>
      <c r="E149" s="246">
        <v>5078280154.01</v>
      </c>
      <c r="F149" s="108"/>
      <c r="G149" s="108"/>
    </row>
    <row r="150" spans="1:7" ht="24" customHeight="1" outlineLevel="1">
      <c r="A150" s="109" t="s">
        <v>326</v>
      </c>
      <c r="B150" s="111"/>
      <c r="C150" s="111"/>
      <c r="D150" s="110">
        <v>5078280154.01</v>
      </c>
      <c r="E150" s="110">
        <v>5078280154.01</v>
      </c>
      <c r="F150" s="111"/>
      <c r="G150" s="111"/>
    </row>
    <row r="151" spans="1:7" ht="24" customHeight="1">
      <c r="A151" s="106" t="s">
        <v>327</v>
      </c>
      <c r="B151" s="108"/>
      <c r="C151" s="108"/>
      <c r="D151" s="246">
        <v>4992912420.179999</v>
      </c>
      <c r="E151" s="246">
        <v>4992912420.179999</v>
      </c>
      <c r="F151" s="108"/>
      <c r="G151" s="108"/>
    </row>
    <row r="152" spans="1:7" ht="24" customHeight="1" outlineLevel="1">
      <c r="A152" s="109" t="s">
        <v>328</v>
      </c>
      <c r="B152" s="111"/>
      <c r="C152" s="111"/>
      <c r="D152" s="110">
        <v>4992912420.179999</v>
      </c>
      <c r="E152" s="110">
        <v>4992912420.179999</v>
      </c>
      <c r="F152" s="111"/>
      <c r="G152" s="111"/>
    </row>
    <row r="153" spans="1:7" ht="24" customHeight="1" outlineLevel="2">
      <c r="A153" s="115" t="s">
        <v>328</v>
      </c>
      <c r="B153" s="111"/>
      <c r="C153" s="111"/>
      <c r="D153" s="110">
        <v>356277448.88</v>
      </c>
      <c r="E153" s="110">
        <v>356277448.88</v>
      </c>
      <c r="F153" s="111"/>
      <c r="G153" s="111"/>
    </row>
    <row r="154" spans="1:7" ht="24" customHeight="1" outlineLevel="2">
      <c r="A154" s="115" t="s">
        <v>329</v>
      </c>
      <c r="B154" s="111"/>
      <c r="C154" s="111"/>
      <c r="D154" s="110">
        <v>4636634971.300001</v>
      </c>
      <c r="E154" s="110">
        <v>4636634971.300001</v>
      </c>
      <c r="F154" s="111"/>
      <c r="G154" s="111"/>
    </row>
    <row r="155" spans="1:7" ht="12" customHeight="1">
      <c r="A155" s="106" t="s">
        <v>378</v>
      </c>
      <c r="B155" s="108"/>
      <c r="C155" s="108"/>
      <c r="D155" s="246">
        <v>5613546.79</v>
      </c>
      <c r="E155" s="246">
        <v>5613546.79</v>
      </c>
      <c r="F155" s="108"/>
      <c r="G155" s="108"/>
    </row>
    <row r="156" spans="1:7" ht="24" customHeight="1" outlineLevel="1">
      <c r="A156" s="112" t="s">
        <v>379</v>
      </c>
      <c r="B156" s="114"/>
      <c r="C156" s="114"/>
      <c r="D156" s="113">
        <v>5613546.79</v>
      </c>
      <c r="E156" s="113">
        <v>5613546.79</v>
      </c>
      <c r="F156" s="114"/>
      <c r="G156" s="114"/>
    </row>
    <row r="157" spans="1:7" ht="48" customHeight="1" outlineLevel="2">
      <c r="A157" s="115" t="s">
        <v>380</v>
      </c>
      <c r="B157" s="111"/>
      <c r="C157" s="111"/>
      <c r="D157" s="110">
        <v>5613546.79</v>
      </c>
      <c r="E157" s="110">
        <v>5613546.79</v>
      </c>
      <c r="F157" s="111"/>
      <c r="G157" s="111"/>
    </row>
    <row r="158" spans="1:7" ht="12" customHeight="1">
      <c r="A158" s="106" t="s">
        <v>330</v>
      </c>
      <c r="B158" s="108"/>
      <c r="C158" s="108"/>
      <c r="D158" s="246">
        <v>79754187.04</v>
      </c>
      <c r="E158" s="246">
        <v>79754187.04</v>
      </c>
      <c r="F158" s="108"/>
      <c r="G158" s="108"/>
    </row>
    <row r="159" spans="1:7" ht="24" customHeight="1" outlineLevel="1">
      <c r="A159" s="109" t="s">
        <v>388</v>
      </c>
      <c r="B159" s="111"/>
      <c r="C159" s="111"/>
      <c r="D159" s="110">
        <v>598968.01</v>
      </c>
      <c r="E159" s="110">
        <v>598968.01</v>
      </c>
      <c r="F159" s="111"/>
      <c r="G159" s="111"/>
    </row>
    <row r="160" spans="1:7" ht="12" customHeight="1" outlineLevel="1">
      <c r="A160" s="109" t="s">
        <v>331</v>
      </c>
      <c r="B160" s="111"/>
      <c r="C160" s="111"/>
      <c r="D160" s="110">
        <v>79155219.03</v>
      </c>
      <c r="E160" s="110">
        <v>79155219.03</v>
      </c>
      <c r="F160" s="111"/>
      <c r="G160" s="111"/>
    </row>
    <row r="161" spans="1:7" ht="24" customHeight="1">
      <c r="A161" s="106" t="s">
        <v>332</v>
      </c>
      <c r="B161" s="108"/>
      <c r="C161" s="108"/>
      <c r="D161" s="246">
        <v>51755825.91</v>
      </c>
      <c r="E161" s="246">
        <v>51755825.91</v>
      </c>
      <c r="F161" s="108"/>
      <c r="G161" s="108"/>
    </row>
    <row r="162" spans="1:7" ht="24" customHeight="1" outlineLevel="1">
      <c r="A162" s="109" t="s">
        <v>333</v>
      </c>
      <c r="B162" s="111"/>
      <c r="C162" s="111"/>
      <c r="D162" s="110">
        <v>51755825.91</v>
      </c>
      <c r="E162" s="110">
        <v>51755825.91</v>
      </c>
      <c r="F162" s="111"/>
      <c r="G162" s="111"/>
    </row>
    <row r="163" spans="1:7" ht="24" customHeight="1">
      <c r="A163" s="106" t="s">
        <v>334</v>
      </c>
      <c r="B163" s="108"/>
      <c r="C163" s="108"/>
      <c r="D163" s="246">
        <v>459109172.71</v>
      </c>
      <c r="E163" s="246">
        <v>459109172.71</v>
      </c>
      <c r="F163" s="108"/>
      <c r="G163" s="108"/>
    </row>
    <row r="164" spans="1:7" ht="24" customHeight="1" outlineLevel="1">
      <c r="A164" s="109" t="s">
        <v>335</v>
      </c>
      <c r="B164" s="111"/>
      <c r="C164" s="111"/>
      <c r="D164" s="110">
        <v>257569452.81</v>
      </c>
      <c r="E164" s="110">
        <v>257569452.81</v>
      </c>
      <c r="F164" s="111"/>
      <c r="G164" s="111"/>
    </row>
    <row r="165" spans="1:7" ht="36" customHeight="1" outlineLevel="1">
      <c r="A165" s="109" t="s">
        <v>336</v>
      </c>
      <c r="B165" s="111"/>
      <c r="C165" s="111"/>
      <c r="D165" s="110">
        <v>185355010.9</v>
      </c>
      <c r="E165" s="110">
        <v>185355010.9</v>
      </c>
      <c r="F165" s="111"/>
      <c r="G165" s="111"/>
    </row>
    <row r="166" spans="1:7" ht="36" customHeight="1" outlineLevel="1">
      <c r="A166" s="109" t="s">
        <v>337</v>
      </c>
      <c r="B166" s="111"/>
      <c r="C166" s="111"/>
      <c r="D166" s="110">
        <v>16184709</v>
      </c>
      <c r="E166" s="110">
        <v>16184709</v>
      </c>
      <c r="F166" s="111"/>
      <c r="G166" s="111"/>
    </row>
    <row r="167" spans="1:7" ht="24" customHeight="1">
      <c r="A167" s="106" t="s">
        <v>338</v>
      </c>
      <c r="B167" s="108"/>
      <c r="C167" s="108"/>
      <c r="D167" s="246">
        <v>156416963.55</v>
      </c>
      <c r="E167" s="246">
        <v>156416963.55</v>
      </c>
      <c r="F167" s="108"/>
      <c r="G167" s="108"/>
    </row>
    <row r="168" spans="1:7" ht="24" customHeight="1" outlineLevel="1">
      <c r="A168" s="112" t="s">
        <v>339</v>
      </c>
      <c r="B168" s="114"/>
      <c r="C168" s="114"/>
      <c r="D168" s="113">
        <v>85118229.55</v>
      </c>
      <c r="E168" s="113">
        <v>85118229.55</v>
      </c>
      <c r="F168" s="114"/>
      <c r="G168" s="114"/>
    </row>
    <row r="169" spans="1:7" ht="48" customHeight="1" outlineLevel="2">
      <c r="A169" s="115" t="s">
        <v>340</v>
      </c>
      <c r="B169" s="111"/>
      <c r="C169" s="111"/>
      <c r="D169" s="110">
        <v>85118229.55</v>
      </c>
      <c r="E169" s="110">
        <v>85118229.55</v>
      </c>
      <c r="F169" s="111"/>
      <c r="G169" s="111"/>
    </row>
    <row r="170" spans="1:7" ht="24" customHeight="1" outlineLevel="1">
      <c r="A170" s="109" t="s">
        <v>341</v>
      </c>
      <c r="B170" s="111"/>
      <c r="C170" s="111"/>
      <c r="D170" s="110">
        <v>71298734</v>
      </c>
      <c r="E170" s="110">
        <v>71298734</v>
      </c>
      <c r="F170" s="111"/>
      <c r="G170" s="111"/>
    </row>
    <row r="171" spans="1:7" ht="12" customHeight="1">
      <c r="A171" s="106" t="s">
        <v>342</v>
      </c>
      <c r="B171" s="108"/>
      <c r="C171" s="108"/>
      <c r="D171" s="246">
        <v>1863970.49</v>
      </c>
      <c r="E171" s="246">
        <v>1863970.49</v>
      </c>
      <c r="F171" s="108"/>
      <c r="G171" s="108"/>
    </row>
    <row r="172" spans="1:7" ht="24" customHeight="1" outlineLevel="1">
      <c r="A172" s="112" t="s">
        <v>343</v>
      </c>
      <c r="B172" s="114"/>
      <c r="C172" s="114"/>
      <c r="D172" s="113">
        <v>1980323.4</v>
      </c>
      <c r="E172" s="113">
        <v>1980323.4</v>
      </c>
      <c r="F172" s="114"/>
      <c r="G172" s="114"/>
    </row>
    <row r="173" spans="1:7" ht="24" customHeight="1" outlineLevel="2">
      <c r="A173" s="115" t="s">
        <v>344</v>
      </c>
      <c r="B173" s="111"/>
      <c r="C173" s="111"/>
      <c r="D173" s="110">
        <v>1980323.4</v>
      </c>
      <c r="E173" s="110">
        <v>1980323.4</v>
      </c>
      <c r="F173" s="111"/>
      <c r="G173" s="111"/>
    </row>
    <row r="174" spans="1:7" ht="36" customHeight="1" outlineLevel="1">
      <c r="A174" s="109" t="s">
        <v>389</v>
      </c>
      <c r="B174" s="111"/>
      <c r="C174" s="111"/>
      <c r="D174" s="118">
        <v>-149540.29</v>
      </c>
      <c r="E174" s="118">
        <v>-149540.29</v>
      </c>
      <c r="F174" s="111"/>
      <c r="G174" s="111"/>
    </row>
    <row r="175" spans="1:7" ht="12" customHeight="1" outlineLevel="1">
      <c r="A175" s="109" t="s">
        <v>390</v>
      </c>
      <c r="B175" s="111"/>
      <c r="C175" s="111"/>
      <c r="D175" s="110">
        <v>33187.38</v>
      </c>
      <c r="E175" s="110">
        <v>33187.38</v>
      </c>
      <c r="F175" s="111"/>
      <c r="G175" s="111"/>
    </row>
    <row r="176" spans="1:7" ht="36" customHeight="1">
      <c r="A176" s="106" t="s">
        <v>345</v>
      </c>
      <c r="B176" s="108"/>
      <c r="C176" s="108"/>
      <c r="D176" s="246">
        <v>157091818</v>
      </c>
      <c r="E176" s="246">
        <v>157091818</v>
      </c>
      <c r="F176" s="108"/>
      <c r="G176" s="108"/>
    </row>
    <row r="177" spans="1:7" ht="36" customHeight="1" outlineLevel="1">
      <c r="A177" s="112" t="s">
        <v>346</v>
      </c>
      <c r="B177" s="114"/>
      <c r="C177" s="114"/>
      <c r="D177" s="113">
        <v>157091818</v>
      </c>
      <c r="E177" s="113">
        <v>157091818</v>
      </c>
      <c r="F177" s="114"/>
      <c r="G177" s="114"/>
    </row>
    <row r="178" spans="1:7" ht="48" customHeight="1" outlineLevel="2">
      <c r="A178" s="115" t="s">
        <v>391</v>
      </c>
      <c r="B178" s="111"/>
      <c r="C178" s="111"/>
      <c r="D178" s="118">
        <v>-23615104</v>
      </c>
      <c r="E178" s="118">
        <v>-23615104</v>
      </c>
      <c r="F178" s="111"/>
      <c r="G178" s="111"/>
    </row>
    <row r="179" spans="1:7" ht="48" customHeight="1" outlineLevel="2">
      <c r="A179" s="115" t="s">
        <v>347</v>
      </c>
      <c r="B179" s="111"/>
      <c r="C179" s="111"/>
      <c r="D179" s="110">
        <v>180706922</v>
      </c>
      <c r="E179" s="110">
        <v>180706922</v>
      </c>
      <c r="F179" s="111"/>
      <c r="G179" s="111"/>
    </row>
    <row r="180" spans="1:7" ht="12" customHeight="1">
      <c r="A180" s="106" t="s">
        <v>348</v>
      </c>
      <c r="B180" s="108"/>
      <c r="C180" s="108"/>
      <c r="D180" s="246">
        <v>1340571235.4</v>
      </c>
      <c r="E180" s="246">
        <v>1340571235.4</v>
      </c>
      <c r="F180" s="108"/>
      <c r="G180" s="108"/>
    </row>
    <row r="181" spans="1:7" ht="12" customHeight="1" outlineLevel="1">
      <c r="A181" s="109" t="s">
        <v>349</v>
      </c>
      <c r="B181" s="111"/>
      <c r="C181" s="111"/>
      <c r="D181" s="110">
        <v>1315751306.4</v>
      </c>
      <c r="E181" s="110">
        <v>1315751306.4</v>
      </c>
      <c r="F181" s="111"/>
      <c r="G181" s="111"/>
    </row>
    <row r="182" spans="1:7" ht="24" customHeight="1" outlineLevel="1">
      <c r="A182" s="109" t="s">
        <v>350</v>
      </c>
      <c r="B182" s="111"/>
      <c r="C182" s="111"/>
      <c r="D182" s="110">
        <v>2584817</v>
      </c>
      <c r="E182" s="110">
        <v>2584817</v>
      </c>
      <c r="F182" s="111"/>
      <c r="G182" s="111"/>
    </row>
    <row r="183" spans="1:7" ht="24" customHeight="1" outlineLevel="1">
      <c r="A183" s="109" t="s">
        <v>351</v>
      </c>
      <c r="B183" s="111"/>
      <c r="C183" s="111"/>
      <c r="D183" s="110">
        <v>22235112</v>
      </c>
      <c r="E183" s="110">
        <v>22235112</v>
      </c>
      <c r="F183" s="111"/>
      <c r="G183" s="111"/>
    </row>
    <row r="184" spans="1:7" ht="24" customHeight="1">
      <c r="A184" s="106" t="s">
        <v>352</v>
      </c>
      <c r="B184" s="108"/>
      <c r="C184" s="108"/>
      <c r="D184" s="246">
        <v>54047972.33</v>
      </c>
      <c r="E184" s="246">
        <v>54047972.33</v>
      </c>
      <c r="F184" s="108"/>
      <c r="G184" s="108"/>
    </row>
    <row r="185" spans="1:7" ht="24" customHeight="1" outlineLevel="1">
      <c r="A185" s="109" t="s">
        <v>353</v>
      </c>
      <c r="B185" s="111"/>
      <c r="C185" s="111"/>
      <c r="D185" s="110">
        <v>54047972.33</v>
      </c>
      <c r="E185" s="110">
        <v>54047972.33</v>
      </c>
      <c r="F185" s="111"/>
      <c r="G185" s="111"/>
    </row>
    <row r="186" spans="1:7" ht="12" customHeight="1">
      <c r="A186" s="106" t="s">
        <v>354</v>
      </c>
      <c r="B186" s="108"/>
      <c r="C186" s="108"/>
      <c r="D186" s="246">
        <v>2209699085.81</v>
      </c>
      <c r="E186" s="246">
        <v>2209699085.81</v>
      </c>
      <c r="F186" s="108"/>
      <c r="G186" s="108"/>
    </row>
    <row r="187" spans="1:7" ht="12" customHeight="1" outlineLevel="1">
      <c r="A187" s="109" t="s">
        <v>355</v>
      </c>
      <c r="B187" s="111"/>
      <c r="C187" s="111"/>
      <c r="D187" s="110">
        <v>2011788549.24</v>
      </c>
      <c r="E187" s="110">
        <v>2011788549.24</v>
      </c>
      <c r="F187" s="111"/>
      <c r="G187" s="111"/>
    </row>
    <row r="188" spans="1:7" ht="36" customHeight="1" outlineLevel="1">
      <c r="A188" s="112" t="s">
        <v>356</v>
      </c>
      <c r="B188" s="114"/>
      <c r="C188" s="114"/>
      <c r="D188" s="113">
        <v>197910536.57</v>
      </c>
      <c r="E188" s="113">
        <v>197910536.57</v>
      </c>
      <c r="F188" s="114"/>
      <c r="G188" s="114"/>
    </row>
    <row r="189" spans="1:7" ht="24" customHeight="1" outlineLevel="2">
      <c r="A189" s="115" t="s">
        <v>357</v>
      </c>
      <c r="B189" s="111"/>
      <c r="C189" s="111"/>
      <c r="D189" s="110">
        <v>8854832.15</v>
      </c>
      <c r="E189" s="110">
        <v>8854832.15</v>
      </c>
      <c r="F189" s="111"/>
      <c r="G189" s="111"/>
    </row>
    <row r="190" spans="1:7" ht="24" customHeight="1" outlineLevel="2">
      <c r="A190" s="115" t="s">
        <v>358</v>
      </c>
      <c r="B190" s="111"/>
      <c r="C190" s="111"/>
      <c r="D190" s="110">
        <v>11103014.17</v>
      </c>
      <c r="E190" s="110">
        <v>11103014.17</v>
      </c>
      <c r="F190" s="111"/>
      <c r="G190" s="111"/>
    </row>
    <row r="191" spans="1:7" ht="24" customHeight="1" outlineLevel="2">
      <c r="A191" s="115" t="s">
        <v>359</v>
      </c>
      <c r="B191" s="111"/>
      <c r="C191" s="111"/>
      <c r="D191" s="110">
        <v>177952690.25</v>
      </c>
      <c r="E191" s="110">
        <v>177952690.25</v>
      </c>
      <c r="F191" s="111"/>
      <c r="G191" s="111"/>
    </row>
    <row r="192" spans="1:7" ht="12" customHeight="1">
      <c r="A192" s="121" t="s">
        <v>77</v>
      </c>
      <c r="B192" s="122">
        <v>25481536561.7</v>
      </c>
      <c r="C192" s="122">
        <v>25481536561.7</v>
      </c>
      <c r="D192" s="122">
        <v>64787935070.11</v>
      </c>
      <c r="E192" s="122">
        <v>64787935070.11</v>
      </c>
      <c r="F192" s="122">
        <v>24885281785.38</v>
      </c>
      <c r="G192" s="122">
        <v>24885281785.38</v>
      </c>
    </row>
    <row r="193" ht="12.75">
      <c r="F193" s="300">
        <f>F192-1680000</f>
        <v>24883601785.38</v>
      </c>
    </row>
    <row r="194" spans="5:6" ht="12.75">
      <c r="E194" s="89">
        <v>2184</v>
      </c>
      <c r="F194" s="91">
        <f>F58</f>
        <v>94706917.1</v>
      </c>
    </row>
    <row r="197" ht="12.75">
      <c r="F197" s="247">
        <f>F192-F194</f>
        <v>24790574868.280003</v>
      </c>
    </row>
    <row r="198" ht="12.75">
      <c r="F198" s="300">
        <f>F193-F194</f>
        <v>24788894868.280003</v>
      </c>
    </row>
  </sheetData>
  <sheetProtection/>
  <mergeCells count="4"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r.yaeva</dc:creator>
  <cp:keywords/>
  <dc:description/>
  <cp:lastModifiedBy>a.sarsenova</cp:lastModifiedBy>
  <cp:lastPrinted>2015-01-26T06:35:43Z</cp:lastPrinted>
  <dcterms:created xsi:type="dcterms:W3CDTF">2012-10-06T14:49:07Z</dcterms:created>
  <dcterms:modified xsi:type="dcterms:W3CDTF">2015-01-29T05:07:54Z</dcterms:modified>
  <cp:category/>
  <cp:version/>
  <cp:contentType/>
  <cp:contentStatus/>
</cp:coreProperties>
</file>