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8040" activeTab="0"/>
  </bookViews>
  <sheets>
    <sheet name="VREP_700_ND_RESPONDENTundefined" sheetId="1" r:id="rId1"/>
  </sheets>
  <definedNames>
    <definedName name="_xlnm._FilterDatabase" localSheetId="0" hidden="1">'VREP_700_ND_RESPONDENTundefined'!$A$4:$H$579</definedName>
  </definedNames>
  <calcPr fullCalcOnLoad="1"/>
</workbook>
</file>

<file path=xl/sharedStrings.xml><?xml version="1.0" encoding="utf-8"?>
<sst xmlns="http://schemas.openxmlformats.org/spreadsheetml/2006/main" count="11" uniqueCount="11">
  <si>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</si>
  <si>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</si>
  <si>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</si>
  <si>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</si>
  <si>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</si>
  <si>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</si>
  <si>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</si>
  <si>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</si>
  <si>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Расходы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</si>
  <si>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</si>
  <si>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«Bereke Bank» за 29.12.2023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</si>
</sst>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0" fillId="33" borderId="10" xfId="0" applyFill="1" applyBorder="1" applyAlignment="1">
      <alignment/>
    </xf>
    <xf numFmtId="43" fontId="0" fillId="33" borderId="10" xfId="58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7109375" style="0" customWidth="1"/>
    <col min="2" max="2" width="12.7109375" style="9" customWidth="1"/>
    <col min="3" max="3" width="86.28125" style="0" customWidth="1"/>
    <col min="4" max="6" width="9.140625" style="9" customWidth="1"/>
    <col min="7" max="7" width="22.7109375" style="1" bestFit="1" customWidth="1"/>
  </cols>
  <sheetData>
    <row r="1" spans="1:5" ht="15">
      <c r="A1" s="9"/>
      <c r="C1" s="10" t="s">
        <v>9</v>
      </c>
      <c r="D1" s="10"/>
      <c r="E1" s="10"/>
    </row>
    <row r="2" spans="1:5" ht="15">
      <c r="A2" s="9"/>
      <c r="C2" s="10" t="s">
        <v>10</v>
      </c>
      <c r="D2" s="10"/>
      <c r="E2" s="10"/>
    </row>
    <row r="3" spans="1:3" ht="15">
      <c r="A3" s="9"/>
      <c r="C3" s="11"/>
    </row>
    <row r="4" spans="1:7" ht="15">
      <c r="A4" s="2" t="s">
        <v>0</v>
      </c>
      <c r="B4" s="7" t="s">
        <v>1</v>
      </c>
      <c r="C4" s="2" t="s">
        <v>2</v>
      </c>
      <c r="D4" s="7" t="s">
        <v>3</v>
      </c>
      <c r="E4" s="7" t="s">
        <v>4</v>
      </c>
      <c r="F4" s="7" t="s">
        <v>5</v>
      </c>
      <c r="G4" s="3" t="s">
        <v>6</v>
      </c>
    </row>
    <row r="5" spans="1:7" ht="15">
      <c r="A5" s="4">
        <v>45289</v>
      </c>
      <c r="B5" s="8">
        <v>1001</v>
      </c>
      <c r="C5" s="5" t="str">
        <f>"Наличность в кассе"</f>
        <v>Наличность в кассе</v>
      </c>
      <c r="D5" s="8">
        <v>1</v>
      </c>
      <c r="E5" s="8">
        <v>3</v>
      </c>
      <c r="F5" s="8">
        <v>1</v>
      </c>
      <c r="G5" s="6">
        <v>7690063475</v>
      </c>
    </row>
    <row r="6" spans="1:7" ht="15">
      <c r="A6" s="4">
        <v>45289</v>
      </c>
      <c r="B6" s="8">
        <v>1001</v>
      </c>
      <c r="C6" s="5" t="str">
        <f>"Наличность в кассе"</f>
        <v>Наличность в кассе</v>
      </c>
      <c r="D6" s="8">
        <v>2</v>
      </c>
      <c r="E6" s="8">
        <v>3</v>
      </c>
      <c r="F6" s="8">
        <v>2</v>
      </c>
      <c r="G6" s="6">
        <v>13597469872.9</v>
      </c>
    </row>
    <row r="7" spans="1:7" ht="15">
      <c r="A7" s="4">
        <v>45289</v>
      </c>
      <c r="B7" s="8">
        <v>1001</v>
      </c>
      <c r="C7" s="5" t="str">
        <f>"Наличность в кассе"</f>
        <v>Наличность в кассе</v>
      </c>
      <c r="D7" s="8">
        <v>2</v>
      </c>
      <c r="E7" s="8">
        <v>3</v>
      </c>
      <c r="F7" s="8">
        <v>3</v>
      </c>
      <c r="G7" s="6">
        <v>2268084583.6</v>
      </c>
    </row>
    <row r="8" spans="1:7" ht="15">
      <c r="A8" s="4">
        <v>45289</v>
      </c>
      <c r="B8" s="8">
        <v>1002</v>
      </c>
      <c r="C8" s="5" t="str">
        <f>"Банкноты и монеты в пути"</f>
        <v>Банкноты и монеты в пути</v>
      </c>
      <c r="D8" s="8">
        <v>1</v>
      </c>
      <c r="E8" s="8">
        <v>3</v>
      </c>
      <c r="F8" s="8">
        <v>1</v>
      </c>
      <c r="G8" s="6">
        <v>2398050000</v>
      </c>
    </row>
    <row r="9" spans="1:7" ht="15">
      <c r="A9" s="4">
        <v>45289</v>
      </c>
      <c r="B9" s="8">
        <v>1002</v>
      </c>
      <c r="C9" s="5" t="str">
        <f>"Банкноты и монеты в пути"</f>
        <v>Банкноты и монеты в пути</v>
      </c>
      <c r="D9" s="8">
        <v>2</v>
      </c>
      <c r="E9" s="8">
        <v>3</v>
      </c>
      <c r="F9" s="8">
        <v>2</v>
      </c>
      <c r="G9" s="6">
        <v>182888800</v>
      </c>
    </row>
    <row r="10" spans="1:7" ht="15">
      <c r="A10" s="4">
        <v>45289</v>
      </c>
      <c r="B10" s="8">
        <v>1002</v>
      </c>
      <c r="C10" s="5" t="str">
        <f>"Банкноты и монеты в пути"</f>
        <v>Банкноты и монеты в пути</v>
      </c>
      <c r="D10" s="8">
        <v>2</v>
      </c>
      <c r="E10" s="8">
        <v>3</v>
      </c>
      <c r="F10" s="8">
        <v>3</v>
      </c>
      <c r="G10" s="6">
        <v>111269400</v>
      </c>
    </row>
    <row r="11" spans="1:7" ht="15">
      <c r="A11" s="4">
        <v>45289</v>
      </c>
      <c r="B11" s="8">
        <v>1005</v>
      </c>
      <c r="C11" s="5" t="str">
        <f>"Наличность в банкоматах и электронных терминалах"</f>
        <v>Наличность в банкоматах и электронных терминалах</v>
      </c>
      <c r="D11" s="8">
        <v>1</v>
      </c>
      <c r="E11" s="8">
        <v>3</v>
      </c>
      <c r="F11" s="8">
        <v>1</v>
      </c>
      <c r="G11" s="6">
        <v>8661039951</v>
      </c>
    </row>
    <row r="12" spans="1:7" ht="15">
      <c r="A12" s="4">
        <v>45289</v>
      </c>
      <c r="B12" s="8">
        <v>1005</v>
      </c>
      <c r="C12" s="5" t="str">
        <f>"Наличность в банкоматах и электронных терминалах"</f>
        <v>Наличность в банкоматах и электронных терминалах</v>
      </c>
      <c r="D12" s="8">
        <v>2</v>
      </c>
      <c r="E12" s="8">
        <v>3</v>
      </c>
      <c r="F12" s="8">
        <v>3</v>
      </c>
      <c r="G12" s="6">
        <v>111557820</v>
      </c>
    </row>
    <row r="13" spans="1:7" ht="15">
      <c r="A13" s="4">
        <v>45289</v>
      </c>
      <c r="B13" s="8">
        <v>1007</v>
      </c>
      <c r="C13" s="5" t="str">
        <f>"Монеты, изготовленные из драгоценных металлов, в кассе"</f>
        <v>Монеты, изготовленные из драгоценных металлов, в кассе</v>
      </c>
      <c r="D13" s="8">
        <v>1</v>
      </c>
      <c r="E13" s="8"/>
      <c r="F13" s="8"/>
      <c r="G13" s="6">
        <v>55402362.05</v>
      </c>
    </row>
    <row r="14" spans="1:7" ht="15">
      <c r="A14" s="4">
        <v>45289</v>
      </c>
      <c r="B14" s="8">
        <v>1051</v>
      </c>
      <c r="C14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4" s="8">
        <v>1</v>
      </c>
      <c r="E14" s="8">
        <v>3</v>
      </c>
      <c r="F14" s="8">
        <v>1</v>
      </c>
      <c r="G14" s="6">
        <v>8490685893.05</v>
      </c>
    </row>
    <row r="15" spans="1:7" ht="15">
      <c r="A15" s="4">
        <v>45289</v>
      </c>
      <c r="B15" s="8">
        <v>1052</v>
      </c>
      <c r="C15" s="5" t="str">
        <f aca="true" t="shared" si="0" ref="C15:C21">"Корреспондентские счета в других банках"</f>
        <v>Корреспондентские счета в других банках</v>
      </c>
      <c r="D15" s="8">
        <v>1</v>
      </c>
      <c r="E15" s="8">
        <v>4</v>
      </c>
      <c r="F15" s="8">
        <v>1</v>
      </c>
      <c r="G15" s="6">
        <v>25716696.43</v>
      </c>
    </row>
    <row r="16" spans="1:7" ht="15">
      <c r="A16" s="4">
        <v>45289</v>
      </c>
      <c r="B16" s="8">
        <v>1052</v>
      </c>
      <c r="C16" s="5" t="str">
        <f t="shared" si="0"/>
        <v>Корреспондентские счета в других банках</v>
      </c>
      <c r="D16" s="8">
        <v>1</v>
      </c>
      <c r="E16" s="8">
        <v>4</v>
      </c>
      <c r="F16" s="8">
        <v>2</v>
      </c>
      <c r="G16" s="6">
        <v>1066302851.04</v>
      </c>
    </row>
    <row r="17" spans="1:7" ht="15">
      <c r="A17" s="4">
        <v>45289</v>
      </c>
      <c r="B17" s="8">
        <v>1052</v>
      </c>
      <c r="C17" s="5" t="str">
        <f t="shared" si="0"/>
        <v>Корреспондентские счета в других банках</v>
      </c>
      <c r="D17" s="8">
        <v>2</v>
      </c>
      <c r="E17" s="8">
        <v>4</v>
      </c>
      <c r="F17" s="8">
        <v>2</v>
      </c>
      <c r="G17" s="6">
        <v>11913691490.38</v>
      </c>
    </row>
    <row r="18" spans="1:7" ht="15">
      <c r="A18" s="4">
        <v>45289</v>
      </c>
      <c r="B18" s="8">
        <v>1052</v>
      </c>
      <c r="C18" s="5" t="str">
        <f t="shared" si="0"/>
        <v>Корреспондентские счета в других банках</v>
      </c>
      <c r="D18" s="8">
        <v>2</v>
      </c>
      <c r="E18" s="8">
        <v>4</v>
      </c>
      <c r="F18" s="8">
        <v>3</v>
      </c>
      <c r="G18" s="6">
        <v>1989891297.94</v>
      </c>
    </row>
    <row r="19" spans="1:7" ht="15">
      <c r="A19" s="4">
        <v>45289</v>
      </c>
      <c r="B19" s="8">
        <v>1052</v>
      </c>
      <c r="C19" s="5" t="str">
        <f t="shared" si="0"/>
        <v>Корреспондентские счета в других банках</v>
      </c>
      <c r="D19" s="8">
        <v>2</v>
      </c>
      <c r="E19" s="8">
        <v>5</v>
      </c>
      <c r="F19" s="8">
        <v>1</v>
      </c>
      <c r="G19" s="6">
        <v>345598401.25</v>
      </c>
    </row>
    <row r="20" spans="1:7" ht="15">
      <c r="A20" s="4">
        <v>45289</v>
      </c>
      <c r="B20" s="8">
        <v>1052</v>
      </c>
      <c r="C20" s="5" t="str">
        <f t="shared" si="0"/>
        <v>Корреспондентские счета в других банках</v>
      </c>
      <c r="D20" s="8">
        <v>2</v>
      </c>
      <c r="E20" s="8">
        <v>5</v>
      </c>
      <c r="F20" s="8">
        <v>2</v>
      </c>
      <c r="G20" s="6">
        <v>439208390.76</v>
      </c>
    </row>
    <row r="21" spans="1:7" ht="15">
      <c r="A21" s="4">
        <v>45289</v>
      </c>
      <c r="B21" s="8">
        <v>1052</v>
      </c>
      <c r="C21" s="5" t="str">
        <f t="shared" si="0"/>
        <v>Корреспондентские счета в других банках</v>
      </c>
      <c r="D21" s="8">
        <v>2</v>
      </c>
      <c r="E21" s="8">
        <v>5</v>
      </c>
      <c r="F21" s="8">
        <v>3</v>
      </c>
      <c r="G21" s="6">
        <v>537647207.23</v>
      </c>
    </row>
    <row r="22" spans="1:7" ht="15">
      <c r="A22" s="4">
        <v>45289</v>
      </c>
      <c r="B22" s="8">
        <v>1055</v>
      </c>
      <c r="C22" s="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D22" s="8">
        <v>1</v>
      </c>
      <c r="E22" s="8">
        <v>3</v>
      </c>
      <c r="F22" s="8">
        <v>1</v>
      </c>
      <c r="G22" s="6">
        <v>11156524006.93</v>
      </c>
    </row>
    <row r="23" spans="1:7" ht="15">
      <c r="A23" s="4">
        <v>45289</v>
      </c>
      <c r="B23" s="8">
        <v>1101</v>
      </c>
      <c r="C23" s="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3" s="8">
        <v>1</v>
      </c>
      <c r="E23" s="8">
        <v>3</v>
      </c>
      <c r="F23" s="8">
        <v>1</v>
      </c>
      <c r="G23" s="6">
        <v>23000000000</v>
      </c>
    </row>
    <row r="24" spans="1:7" ht="15">
      <c r="A24" s="4">
        <v>45289</v>
      </c>
      <c r="B24" s="8">
        <v>1103</v>
      </c>
      <c r="C24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4" s="8">
        <v>1</v>
      </c>
      <c r="E24" s="8">
        <v>3</v>
      </c>
      <c r="F24" s="8">
        <v>1</v>
      </c>
      <c r="G24" s="6">
        <v>380000000000</v>
      </c>
    </row>
    <row r="25" spans="1:7" ht="15">
      <c r="A25" s="4">
        <v>45289</v>
      </c>
      <c r="B25" s="8">
        <v>1103</v>
      </c>
      <c r="C25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5" s="8">
        <v>1</v>
      </c>
      <c r="E25" s="8">
        <v>3</v>
      </c>
      <c r="F25" s="8">
        <v>2</v>
      </c>
      <c r="G25" s="6">
        <v>71365920000</v>
      </c>
    </row>
    <row r="26" spans="1:7" ht="15">
      <c r="A26" s="4">
        <v>45289</v>
      </c>
      <c r="B26" s="8">
        <v>1253</v>
      </c>
      <c r="C26" s="5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D26" s="8">
        <v>2</v>
      </c>
      <c r="E26" s="8">
        <v>4</v>
      </c>
      <c r="F26" s="8">
        <v>3</v>
      </c>
      <c r="G26" s="6">
        <v>25300000000</v>
      </c>
    </row>
    <row r="27" spans="1:7" ht="15">
      <c r="A27" s="4">
        <v>45289</v>
      </c>
      <c r="B27" s="8">
        <v>1259</v>
      </c>
      <c r="C27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27" s="8">
        <v>1</v>
      </c>
      <c r="E27" s="8">
        <v>5</v>
      </c>
      <c r="F27" s="8">
        <v>1</v>
      </c>
      <c r="G27" s="6">
        <v>-82500</v>
      </c>
    </row>
    <row r="28" spans="1:7" ht="15">
      <c r="A28" s="4">
        <v>45289</v>
      </c>
      <c r="B28" s="8">
        <v>1259</v>
      </c>
      <c r="C28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28" s="8">
        <v>2</v>
      </c>
      <c r="E28" s="8">
        <v>4</v>
      </c>
      <c r="F28" s="8">
        <v>3</v>
      </c>
      <c r="G28" s="6">
        <v>0</v>
      </c>
    </row>
    <row r="29" spans="1:7" ht="15">
      <c r="A29" s="4">
        <v>45289</v>
      </c>
      <c r="B29" s="8">
        <v>1259</v>
      </c>
      <c r="C29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29" s="8">
        <v>2</v>
      </c>
      <c r="E29" s="8">
        <v>5</v>
      </c>
      <c r="F29" s="8">
        <v>3</v>
      </c>
      <c r="G29" s="6">
        <v>-5060</v>
      </c>
    </row>
    <row r="30" spans="1:7" ht="15">
      <c r="A30" s="4">
        <v>45289</v>
      </c>
      <c r="B30" s="8">
        <v>1264</v>
      </c>
      <c r="C30" s="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0" s="8">
        <v>2</v>
      </c>
      <c r="E30" s="8">
        <v>5</v>
      </c>
      <c r="F30" s="8">
        <v>2</v>
      </c>
      <c r="G30" s="6">
        <v>1376109952.29</v>
      </c>
    </row>
    <row r="31" spans="1:7" ht="15">
      <c r="A31" s="4">
        <v>45289</v>
      </c>
      <c r="B31" s="8">
        <v>1267</v>
      </c>
      <c r="C31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1" s="8">
        <v>1</v>
      </c>
      <c r="E31" s="8">
        <v>5</v>
      </c>
      <c r="F31" s="8">
        <v>1</v>
      </c>
      <c r="G31" s="6">
        <v>55000000</v>
      </c>
    </row>
    <row r="32" spans="1:7" ht="15">
      <c r="A32" s="4">
        <v>45289</v>
      </c>
      <c r="B32" s="8">
        <v>1267</v>
      </c>
      <c r="C32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2" s="8">
        <v>2</v>
      </c>
      <c r="E32" s="8">
        <v>4</v>
      </c>
      <c r="F32" s="8">
        <v>3</v>
      </c>
      <c r="G32" s="6">
        <v>0</v>
      </c>
    </row>
    <row r="33" spans="1:7" ht="15">
      <c r="A33" s="4">
        <v>45289</v>
      </c>
      <c r="B33" s="8">
        <v>1267</v>
      </c>
      <c r="C33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3" s="8">
        <v>2</v>
      </c>
      <c r="E33" s="8">
        <v>5</v>
      </c>
      <c r="F33" s="8">
        <v>3</v>
      </c>
      <c r="G33" s="6">
        <v>50600000</v>
      </c>
    </row>
    <row r="34" spans="1:7" ht="15">
      <c r="A34" s="4">
        <v>45289</v>
      </c>
      <c r="B34" s="8">
        <v>1401</v>
      </c>
      <c r="C34" s="5" t="str">
        <f>"Займы овердрафт, предоставленные клиентам"</f>
        <v>Займы овердрафт, предоставленные клиентам</v>
      </c>
      <c r="D34" s="8">
        <v>1</v>
      </c>
      <c r="E34" s="8">
        <v>7</v>
      </c>
      <c r="F34" s="8">
        <v>1</v>
      </c>
      <c r="G34" s="6">
        <v>881911679.64</v>
      </c>
    </row>
    <row r="35" spans="1:7" ht="15">
      <c r="A35" s="4">
        <v>45289</v>
      </c>
      <c r="B35" s="8">
        <v>1401</v>
      </c>
      <c r="C35" s="5" t="str">
        <f>"Займы овердрафт, предоставленные клиентам"</f>
        <v>Займы овердрафт, предоставленные клиентам</v>
      </c>
      <c r="D35" s="8">
        <v>1</v>
      </c>
      <c r="E35" s="8">
        <v>9</v>
      </c>
      <c r="F35" s="8">
        <v>1</v>
      </c>
      <c r="G35" s="6">
        <v>27750000</v>
      </c>
    </row>
    <row r="36" spans="1:7" ht="15">
      <c r="A36" s="4">
        <v>45289</v>
      </c>
      <c r="B36" s="8">
        <v>1403</v>
      </c>
      <c r="C36" s="5" t="str">
        <f>"Счета по кредитным карточкам клиентов"</f>
        <v>Счета по кредитным карточкам клиентов</v>
      </c>
      <c r="D36" s="8">
        <v>1</v>
      </c>
      <c r="E36" s="8">
        <v>7</v>
      </c>
      <c r="F36" s="8">
        <v>1</v>
      </c>
      <c r="G36" s="6">
        <v>9068818.43</v>
      </c>
    </row>
    <row r="37" spans="1:7" ht="15">
      <c r="A37" s="4">
        <v>45289</v>
      </c>
      <c r="B37" s="8">
        <v>1403</v>
      </c>
      <c r="C37" s="5" t="str">
        <f>"Счета по кредитным карточкам клиентов"</f>
        <v>Счета по кредитным карточкам клиентов</v>
      </c>
      <c r="D37" s="8">
        <v>1</v>
      </c>
      <c r="E37" s="8">
        <v>9</v>
      </c>
      <c r="F37" s="8">
        <v>1</v>
      </c>
      <c r="G37" s="6">
        <v>1044313107.26</v>
      </c>
    </row>
    <row r="38" spans="1:7" ht="15">
      <c r="A38" s="4">
        <v>45289</v>
      </c>
      <c r="B38" s="8">
        <v>1411</v>
      </c>
      <c r="C38" s="5" t="str">
        <f>"Краткосрочные займы, предоставленные клиентам"</f>
        <v>Краткосрочные займы, предоставленные клиентам</v>
      </c>
      <c r="D38" s="8">
        <v>1</v>
      </c>
      <c r="E38" s="8">
        <v>7</v>
      </c>
      <c r="F38" s="8">
        <v>1</v>
      </c>
      <c r="G38" s="6">
        <v>128715921854.1</v>
      </c>
    </row>
    <row r="39" spans="1:7" ht="15">
      <c r="A39" s="4">
        <v>45289</v>
      </c>
      <c r="B39" s="8">
        <v>1411</v>
      </c>
      <c r="C39" s="5" t="str">
        <f>"Краткосрочные займы, предоставленные клиентам"</f>
        <v>Краткосрочные займы, предоставленные клиентам</v>
      </c>
      <c r="D39" s="8">
        <v>1</v>
      </c>
      <c r="E39" s="8">
        <v>7</v>
      </c>
      <c r="F39" s="8">
        <v>2</v>
      </c>
      <c r="G39" s="6">
        <v>6472722306.85</v>
      </c>
    </row>
    <row r="40" spans="1:7" ht="15">
      <c r="A40" s="4">
        <v>45289</v>
      </c>
      <c r="B40" s="8">
        <v>1411</v>
      </c>
      <c r="C40" s="5" t="str">
        <f>"Краткосрочные займы, предоставленные клиентам"</f>
        <v>Краткосрочные займы, предоставленные клиентам</v>
      </c>
      <c r="D40" s="8">
        <v>1</v>
      </c>
      <c r="E40" s="8">
        <v>9</v>
      </c>
      <c r="F40" s="8">
        <v>1</v>
      </c>
      <c r="G40" s="6">
        <v>7573443073.18</v>
      </c>
    </row>
    <row r="41" spans="1:7" ht="15">
      <c r="A41" s="4">
        <v>45289</v>
      </c>
      <c r="B41" s="8">
        <v>1417</v>
      </c>
      <c r="C41" s="5" t="str">
        <f aca="true" t="shared" si="1" ref="C41:C46">"Долгосрочные займы, предоставленные клиентам"</f>
        <v>Долгосрочные займы, предоставленные клиентам</v>
      </c>
      <c r="D41" s="8">
        <v>1</v>
      </c>
      <c r="E41" s="8">
        <v>7</v>
      </c>
      <c r="F41" s="8">
        <v>1</v>
      </c>
      <c r="G41" s="6">
        <v>240532840309.78</v>
      </c>
    </row>
    <row r="42" spans="1:7" ht="15">
      <c r="A42" s="4">
        <v>45289</v>
      </c>
      <c r="B42" s="8">
        <v>1417</v>
      </c>
      <c r="C42" s="5" t="str">
        <f t="shared" si="1"/>
        <v>Долгосрочные займы, предоставленные клиентам</v>
      </c>
      <c r="D42" s="8">
        <v>1</v>
      </c>
      <c r="E42" s="8">
        <v>7</v>
      </c>
      <c r="F42" s="8">
        <v>2</v>
      </c>
      <c r="G42" s="6">
        <v>1238682563.85</v>
      </c>
    </row>
    <row r="43" spans="1:7" ht="15">
      <c r="A43" s="4">
        <v>45289</v>
      </c>
      <c r="B43" s="8">
        <v>1417</v>
      </c>
      <c r="C43" s="5" t="str">
        <f t="shared" si="1"/>
        <v>Долгосрочные займы, предоставленные клиентам</v>
      </c>
      <c r="D43" s="8">
        <v>1</v>
      </c>
      <c r="E43" s="8">
        <v>7</v>
      </c>
      <c r="F43" s="8">
        <v>3</v>
      </c>
      <c r="G43" s="6">
        <v>724810799.46</v>
      </c>
    </row>
    <row r="44" spans="1:7" ht="15">
      <c r="A44" s="4">
        <v>45289</v>
      </c>
      <c r="B44" s="8">
        <v>1417</v>
      </c>
      <c r="C44" s="5" t="str">
        <f t="shared" si="1"/>
        <v>Долгосрочные займы, предоставленные клиентам</v>
      </c>
      <c r="D44" s="8">
        <v>1</v>
      </c>
      <c r="E44" s="8">
        <v>9</v>
      </c>
      <c r="F44" s="8">
        <v>1</v>
      </c>
      <c r="G44" s="6">
        <v>935199598448.67</v>
      </c>
    </row>
    <row r="45" spans="1:7" ht="15">
      <c r="A45" s="4">
        <v>45289</v>
      </c>
      <c r="B45" s="8">
        <v>1417</v>
      </c>
      <c r="C45" s="5" t="str">
        <f t="shared" si="1"/>
        <v>Долгосрочные займы, предоставленные клиентам</v>
      </c>
      <c r="D45" s="8">
        <v>1</v>
      </c>
      <c r="E45" s="8">
        <v>9</v>
      </c>
      <c r="F45" s="8">
        <v>2</v>
      </c>
      <c r="G45" s="6">
        <v>697042754.65</v>
      </c>
    </row>
    <row r="46" spans="1:7" ht="15">
      <c r="A46" s="4">
        <v>45289</v>
      </c>
      <c r="B46" s="8">
        <v>1417</v>
      </c>
      <c r="C46" s="5" t="str">
        <f t="shared" si="1"/>
        <v>Долгосрочные займы, предоставленные клиентам</v>
      </c>
      <c r="D46" s="8">
        <v>2</v>
      </c>
      <c r="E46" s="8">
        <v>9</v>
      </c>
      <c r="F46" s="8">
        <v>1</v>
      </c>
      <c r="G46" s="6">
        <v>149791842.42</v>
      </c>
    </row>
    <row r="47" spans="1:7" ht="15">
      <c r="A47" s="4">
        <v>45289</v>
      </c>
      <c r="B47" s="8">
        <v>1424</v>
      </c>
      <c r="C47" s="5" t="str">
        <f>"Просроченная задолженность клиентов по займам"</f>
        <v>Просроченная задолженность клиентов по займам</v>
      </c>
      <c r="D47" s="8">
        <v>1</v>
      </c>
      <c r="E47" s="8">
        <v>5</v>
      </c>
      <c r="F47" s="8">
        <v>1</v>
      </c>
      <c r="G47" s="6">
        <v>32248932.93</v>
      </c>
    </row>
    <row r="48" spans="1:7" ht="15">
      <c r="A48" s="4">
        <v>45289</v>
      </c>
      <c r="B48" s="8">
        <v>1424</v>
      </c>
      <c r="C48" s="5" t="str">
        <f>"Просроченная задолженность клиентов по займам"</f>
        <v>Просроченная задолженность клиентов по займам</v>
      </c>
      <c r="D48" s="8">
        <v>1</v>
      </c>
      <c r="E48" s="8">
        <v>7</v>
      </c>
      <c r="F48" s="8">
        <v>1</v>
      </c>
      <c r="G48" s="6">
        <v>13594970858.1</v>
      </c>
    </row>
    <row r="49" spans="1:7" ht="15">
      <c r="A49" s="4">
        <v>45289</v>
      </c>
      <c r="B49" s="8">
        <v>1424</v>
      </c>
      <c r="C49" s="5" t="str">
        <f>"Просроченная задолженность клиентов по займам"</f>
        <v>Просроченная задолженность клиентов по займам</v>
      </c>
      <c r="D49" s="8">
        <v>1</v>
      </c>
      <c r="E49" s="8">
        <v>9</v>
      </c>
      <c r="F49" s="8">
        <v>1</v>
      </c>
      <c r="G49" s="6">
        <v>17140483712.38</v>
      </c>
    </row>
    <row r="50" spans="1:7" ht="15">
      <c r="A50" s="4">
        <v>45289</v>
      </c>
      <c r="B50" s="8">
        <v>1424</v>
      </c>
      <c r="C50" s="5" t="str">
        <f>"Просроченная задолженность клиентов по займам"</f>
        <v>Просроченная задолженность клиентов по займам</v>
      </c>
      <c r="D50" s="8">
        <v>1</v>
      </c>
      <c r="E50" s="8">
        <v>9</v>
      </c>
      <c r="F50" s="8">
        <v>2</v>
      </c>
      <c r="G50" s="6">
        <v>8055689.61</v>
      </c>
    </row>
    <row r="51" spans="1:7" ht="15">
      <c r="A51" s="4">
        <v>45289</v>
      </c>
      <c r="B51" s="8">
        <v>1424</v>
      </c>
      <c r="C51" s="5" t="str">
        <f>"Просроченная задолженность клиентов по займам"</f>
        <v>Просроченная задолженность клиентов по займам</v>
      </c>
      <c r="D51" s="8">
        <v>2</v>
      </c>
      <c r="E51" s="8">
        <v>9</v>
      </c>
      <c r="F51" s="8">
        <v>1</v>
      </c>
      <c r="G51" s="6">
        <v>3919225.51</v>
      </c>
    </row>
    <row r="52" spans="1:7" ht="15">
      <c r="A52" s="4">
        <v>45289</v>
      </c>
      <c r="B52" s="8">
        <v>1428</v>
      </c>
      <c r="C52" s="5" t="str">
        <f aca="true" t="shared" si="2" ref="C52:C5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52" s="8">
        <v>1</v>
      </c>
      <c r="E52" s="8">
        <v>5</v>
      </c>
      <c r="F52" s="8">
        <v>1</v>
      </c>
      <c r="G52" s="6">
        <v>-172822630.29</v>
      </c>
    </row>
    <row r="53" spans="1:7" ht="15">
      <c r="A53" s="4">
        <v>45289</v>
      </c>
      <c r="B53" s="8">
        <v>1428</v>
      </c>
      <c r="C53" s="5" t="str">
        <f t="shared" si="2"/>
        <v>Резервы (провизии) по займам и финансовому лизингу, предоставленным клиентам</v>
      </c>
      <c r="D53" s="8">
        <v>1</v>
      </c>
      <c r="E53" s="8">
        <v>7</v>
      </c>
      <c r="F53" s="8">
        <v>1</v>
      </c>
      <c r="G53" s="6">
        <v>-65668077646.74</v>
      </c>
    </row>
    <row r="54" spans="1:7" ht="15">
      <c r="A54" s="4">
        <v>45289</v>
      </c>
      <c r="B54" s="8">
        <v>1428</v>
      </c>
      <c r="C54" s="5" t="str">
        <f t="shared" si="2"/>
        <v>Резервы (провизии) по займам и финансовому лизингу, предоставленным клиентам</v>
      </c>
      <c r="D54" s="8">
        <v>1</v>
      </c>
      <c r="E54" s="8">
        <v>7</v>
      </c>
      <c r="F54" s="8">
        <v>2</v>
      </c>
      <c r="G54" s="6">
        <v>-582783293.92</v>
      </c>
    </row>
    <row r="55" spans="1:7" ht="15">
      <c r="A55" s="4">
        <v>45289</v>
      </c>
      <c r="B55" s="8">
        <v>1428</v>
      </c>
      <c r="C55" s="5" t="str">
        <f t="shared" si="2"/>
        <v>Резервы (провизии) по займам и финансовому лизингу, предоставленным клиентам</v>
      </c>
      <c r="D55" s="8">
        <v>1</v>
      </c>
      <c r="E55" s="8">
        <v>7</v>
      </c>
      <c r="F55" s="8">
        <v>3</v>
      </c>
      <c r="G55" s="6">
        <v>-267430952.56</v>
      </c>
    </row>
    <row r="56" spans="1:7" ht="15">
      <c r="A56" s="4">
        <v>45289</v>
      </c>
      <c r="B56" s="8">
        <v>1428</v>
      </c>
      <c r="C56" s="5" t="str">
        <f t="shared" si="2"/>
        <v>Резервы (провизии) по займам и финансовому лизингу, предоставленным клиентам</v>
      </c>
      <c r="D56" s="8">
        <v>1</v>
      </c>
      <c r="E56" s="8">
        <v>9</v>
      </c>
      <c r="F56" s="8">
        <v>1</v>
      </c>
      <c r="G56" s="6">
        <v>-97938558508.79</v>
      </c>
    </row>
    <row r="57" spans="1:7" ht="15">
      <c r="A57" s="4">
        <v>45289</v>
      </c>
      <c r="B57" s="8">
        <v>1428</v>
      </c>
      <c r="C57" s="5" t="str">
        <f t="shared" si="2"/>
        <v>Резервы (провизии) по займам и финансовому лизингу, предоставленным клиентам</v>
      </c>
      <c r="D57" s="8">
        <v>1</v>
      </c>
      <c r="E57" s="8">
        <v>9</v>
      </c>
      <c r="F57" s="8">
        <v>2</v>
      </c>
      <c r="G57" s="6">
        <v>-17186018.13</v>
      </c>
    </row>
    <row r="58" spans="1:7" ht="15">
      <c r="A58" s="4">
        <v>45289</v>
      </c>
      <c r="B58" s="8">
        <v>1428</v>
      </c>
      <c r="C58" s="5" t="str">
        <f t="shared" si="2"/>
        <v>Резервы (провизии) по займам и финансовому лизингу, предоставленным клиентам</v>
      </c>
      <c r="D58" s="8">
        <v>2</v>
      </c>
      <c r="E58" s="8">
        <v>9</v>
      </c>
      <c r="F58" s="8">
        <v>1</v>
      </c>
      <c r="G58" s="6">
        <v>-35974748.26</v>
      </c>
    </row>
    <row r="59" spans="1:7" ht="15">
      <c r="A59" s="4">
        <v>45289</v>
      </c>
      <c r="B59" s="8">
        <v>1434</v>
      </c>
      <c r="C59" s="5" t="str">
        <f>"Дисконт по займам, предоставленным клиентам"</f>
        <v>Дисконт по займам, предоставленным клиентам</v>
      </c>
      <c r="D59" s="8">
        <v>1</v>
      </c>
      <c r="E59" s="8">
        <v>7</v>
      </c>
      <c r="F59" s="8">
        <v>1</v>
      </c>
      <c r="G59" s="6">
        <v>-69771764.54</v>
      </c>
    </row>
    <row r="60" spans="1:7" ht="15">
      <c r="A60" s="4">
        <v>45289</v>
      </c>
      <c r="B60" s="8">
        <v>1434</v>
      </c>
      <c r="C60" s="5" t="str">
        <f>"Дисконт по займам, предоставленным клиентам"</f>
        <v>Дисконт по займам, предоставленным клиентам</v>
      </c>
      <c r="D60" s="8">
        <v>1</v>
      </c>
      <c r="E60" s="8">
        <v>7</v>
      </c>
      <c r="F60" s="8">
        <v>2</v>
      </c>
      <c r="G60" s="6">
        <v>-114217.29</v>
      </c>
    </row>
    <row r="61" spans="1:7" ht="15">
      <c r="A61" s="4">
        <v>45289</v>
      </c>
      <c r="B61" s="8">
        <v>1434</v>
      </c>
      <c r="C61" s="5" t="str">
        <f>"Дисконт по займам, предоставленным клиентам"</f>
        <v>Дисконт по займам, предоставленным клиентам</v>
      </c>
      <c r="D61" s="8">
        <v>1</v>
      </c>
      <c r="E61" s="8">
        <v>9</v>
      </c>
      <c r="F61" s="8">
        <v>1</v>
      </c>
      <c r="G61" s="6">
        <v>-1693760243.63</v>
      </c>
    </row>
    <row r="62" spans="1:7" ht="15">
      <c r="A62" s="4">
        <v>45289</v>
      </c>
      <c r="B62" s="8">
        <v>1434</v>
      </c>
      <c r="C62" s="5" t="str">
        <f>"Дисконт по займам, предоставленным клиентам"</f>
        <v>Дисконт по займам, предоставленным клиентам</v>
      </c>
      <c r="D62" s="8">
        <v>2</v>
      </c>
      <c r="E62" s="8">
        <v>9</v>
      </c>
      <c r="F62" s="8">
        <v>1</v>
      </c>
      <c r="G62" s="6">
        <v>-622304.94</v>
      </c>
    </row>
    <row r="63" spans="1:7" ht="15">
      <c r="A63" s="4">
        <v>45289</v>
      </c>
      <c r="B63" s="8">
        <v>1452</v>
      </c>
      <c r="C63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3" s="8">
        <v>1</v>
      </c>
      <c r="E63" s="8">
        <v>1</v>
      </c>
      <c r="F63" s="8">
        <v>1</v>
      </c>
      <c r="G63" s="6">
        <v>20000000000</v>
      </c>
    </row>
    <row r="64" spans="1:7" ht="15">
      <c r="A64" s="4">
        <v>45289</v>
      </c>
      <c r="B64" s="8">
        <v>1452</v>
      </c>
      <c r="C64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4" s="8">
        <v>1</v>
      </c>
      <c r="E64" s="8">
        <v>5</v>
      </c>
      <c r="F64" s="8">
        <v>1</v>
      </c>
      <c r="G64" s="6">
        <v>4000000000</v>
      </c>
    </row>
    <row r="65" spans="1:7" ht="15">
      <c r="A65" s="4">
        <v>45289</v>
      </c>
      <c r="B65" s="8">
        <v>1452</v>
      </c>
      <c r="C65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5" s="8">
        <v>1</v>
      </c>
      <c r="E65" s="8">
        <v>6</v>
      </c>
      <c r="F65" s="8">
        <v>1</v>
      </c>
      <c r="G65" s="6">
        <v>12000000000</v>
      </c>
    </row>
    <row r="66" spans="1:7" ht="15">
      <c r="A66" s="4">
        <v>45289</v>
      </c>
      <c r="B66" s="8">
        <v>1452</v>
      </c>
      <c r="C66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6" s="8">
        <v>2</v>
      </c>
      <c r="E66" s="8">
        <v>4</v>
      </c>
      <c r="F66" s="8">
        <v>1</v>
      </c>
      <c r="G66" s="6">
        <v>10000000000</v>
      </c>
    </row>
    <row r="67" spans="1:7" ht="15">
      <c r="A67" s="4">
        <v>45289</v>
      </c>
      <c r="B67" s="8">
        <v>1453</v>
      </c>
      <c r="C67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67" s="8">
        <v>1</v>
      </c>
      <c r="E67" s="8">
        <v>1</v>
      </c>
      <c r="F67" s="8">
        <v>1</v>
      </c>
      <c r="G67" s="6">
        <v>-1884531053.68</v>
      </c>
    </row>
    <row r="68" spans="1:7" ht="15">
      <c r="A68" s="4">
        <v>45289</v>
      </c>
      <c r="B68" s="8">
        <v>1453</v>
      </c>
      <c r="C68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68" s="8">
        <v>1</v>
      </c>
      <c r="E68" s="8">
        <v>5</v>
      </c>
      <c r="F68" s="8">
        <v>1</v>
      </c>
      <c r="G68" s="6">
        <v>-38007614.58</v>
      </c>
    </row>
    <row r="69" spans="1:7" ht="15">
      <c r="A69" s="4">
        <v>45289</v>
      </c>
      <c r="B69" s="8">
        <v>1454</v>
      </c>
      <c r="C69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69" s="8">
        <v>1</v>
      </c>
      <c r="E69" s="8">
        <v>6</v>
      </c>
      <c r="F69" s="8">
        <v>1</v>
      </c>
      <c r="G69" s="6">
        <v>98456913.94</v>
      </c>
    </row>
    <row r="70" spans="1:7" ht="15">
      <c r="A70" s="4">
        <v>45289</v>
      </c>
      <c r="B70" s="8">
        <v>1456</v>
      </c>
      <c r="C70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70" s="8">
        <v>1</v>
      </c>
      <c r="E70" s="8">
        <v>1</v>
      </c>
      <c r="F70" s="8">
        <v>1</v>
      </c>
      <c r="G70" s="6">
        <v>134611053.68</v>
      </c>
    </row>
    <row r="71" spans="1:7" ht="15">
      <c r="A71" s="4">
        <v>45289</v>
      </c>
      <c r="B71" s="8">
        <v>1457</v>
      </c>
      <c r="C71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1" s="8">
        <v>1</v>
      </c>
      <c r="E71" s="8">
        <v>5</v>
      </c>
      <c r="F71" s="8">
        <v>1</v>
      </c>
      <c r="G71" s="6">
        <v>-14465985.42</v>
      </c>
    </row>
    <row r="72" spans="1:7" ht="15">
      <c r="A72" s="4">
        <v>45289</v>
      </c>
      <c r="B72" s="8">
        <v>1457</v>
      </c>
      <c r="C72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2" s="8">
        <v>1</v>
      </c>
      <c r="E72" s="8">
        <v>6</v>
      </c>
      <c r="F72" s="8">
        <v>1</v>
      </c>
      <c r="G72" s="6">
        <v>-98456913.94</v>
      </c>
    </row>
    <row r="73" spans="1:7" ht="15">
      <c r="A73" s="4">
        <v>45289</v>
      </c>
      <c r="B73" s="8">
        <v>1457</v>
      </c>
      <c r="C73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3" s="8">
        <v>2</v>
      </c>
      <c r="E73" s="8">
        <v>4</v>
      </c>
      <c r="F73" s="8">
        <v>1</v>
      </c>
      <c r="G73" s="6">
        <v>-25002000</v>
      </c>
    </row>
    <row r="74" spans="1:7" ht="15">
      <c r="A74" s="4">
        <v>45289</v>
      </c>
      <c r="B74" s="8">
        <v>1461</v>
      </c>
      <c r="C74" s="5" t="str">
        <f>"Операции «обратное РЕПО» с ценными бумагами"</f>
        <v>Операции «обратное РЕПО» с ценными бумагами</v>
      </c>
      <c r="D74" s="8">
        <v>1</v>
      </c>
      <c r="E74" s="8">
        <v>5</v>
      </c>
      <c r="F74" s="8">
        <v>1</v>
      </c>
      <c r="G74" s="6">
        <v>134987911180.82</v>
      </c>
    </row>
    <row r="75" spans="1:7" ht="15">
      <c r="A75" s="4">
        <v>45289</v>
      </c>
      <c r="B75" s="8">
        <v>1476</v>
      </c>
      <c r="C75" s="5" t="str">
        <f>"Прочие инвестиции"</f>
        <v>Прочие инвестиции</v>
      </c>
      <c r="D75" s="8">
        <v>1</v>
      </c>
      <c r="E75" s="8">
        <v>5</v>
      </c>
      <c r="F75" s="8">
        <v>1</v>
      </c>
      <c r="G75" s="6">
        <v>2400260</v>
      </c>
    </row>
    <row r="76" spans="1:7" ht="15">
      <c r="A76" s="4">
        <v>45289</v>
      </c>
      <c r="B76" s="8">
        <v>1602</v>
      </c>
      <c r="C76" s="5" t="str">
        <f>"Прочие запасы"</f>
        <v>Прочие запасы</v>
      </c>
      <c r="D76" s="8"/>
      <c r="E76" s="8"/>
      <c r="F76" s="8"/>
      <c r="G76" s="6">
        <v>4961426612.67</v>
      </c>
    </row>
    <row r="77" spans="1:7" ht="15">
      <c r="A77" s="4">
        <v>45289</v>
      </c>
      <c r="B77" s="8">
        <v>1603</v>
      </c>
      <c r="C77" s="5" t="str">
        <f>"Монеты, изготовленные из драгоценных металлов, на складе"</f>
        <v>Монеты, изготовленные из драгоценных металлов, на складе</v>
      </c>
      <c r="D77" s="8">
        <v>1</v>
      </c>
      <c r="E77" s="8"/>
      <c r="F77" s="8"/>
      <c r="G77" s="6">
        <v>1544402.5</v>
      </c>
    </row>
    <row r="78" spans="1:7" ht="15">
      <c r="A78" s="4">
        <v>45289</v>
      </c>
      <c r="B78" s="8">
        <v>1603</v>
      </c>
      <c r="C78" s="5" t="str">
        <f>"Монеты, изготовленные из драгоценных металлов, на складе"</f>
        <v>Монеты, изготовленные из драгоценных металлов, на складе</v>
      </c>
      <c r="D78" s="8">
        <v>2</v>
      </c>
      <c r="E78" s="8"/>
      <c r="F78" s="8"/>
      <c r="G78" s="6">
        <v>115441571.6</v>
      </c>
    </row>
    <row r="79" spans="1:7" ht="15">
      <c r="A79" s="4">
        <v>45289</v>
      </c>
      <c r="B79" s="8">
        <v>1652</v>
      </c>
      <c r="C79" s="5" t="str">
        <f>"Земля, здания и сооружения"</f>
        <v>Земля, здания и сооружения</v>
      </c>
      <c r="D79" s="8"/>
      <c r="E79" s="8"/>
      <c r="F79" s="8"/>
      <c r="G79" s="6">
        <v>19635145829.97</v>
      </c>
    </row>
    <row r="80" spans="1:7" ht="15">
      <c r="A80" s="4">
        <v>45289</v>
      </c>
      <c r="B80" s="8">
        <v>1653</v>
      </c>
      <c r="C80" s="5" t="str">
        <f>"Компьютерное оборудование"</f>
        <v>Компьютерное оборудование</v>
      </c>
      <c r="D80" s="8"/>
      <c r="E80" s="8"/>
      <c r="F80" s="8"/>
      <c r="G80" s="6">
        <v>19095273051.38</v>
      </c>
    </row>
    <row r="81" spans="1:7" ht="15">
      <c r="A81" s="4">
        <v>45289</v>
      </c>
      <c r="B81" s="8">
        <v>1654</v>
      </c>
      <c r="C81" s="5" t="str">
        <f>"Прочие основные средства"</f>
        <v>Прочие основные средства</v>
      </c>
      <c r="D81" s="8"/>
      <c r="E81" s="8"/>
      <c r="F81" s="8"/>
      <c r="G81" s="6">
        <v>34429472130.85</v>
      </c>
    </row>
    <row r="82" spans="1:7" ht="15">
      <c r="A82" s="4">
        <v>45289</v>
      </c>
      <c r="B82" s="8">
        <v>1655</v>
      </c>
      <c r="C82" s="5" t="str">
        <f>"Активы в форме права пользования"</f>
        <v>Активы в форме права пользования</v>
      </c>
      <c r="D82" s="8"/>
      <c r="E82" s="8"/>
      <c r="F82" s="8"/>
      <c r="G82" s="6">
        <v>8213693378.81</v>
      </c>
    </row>
    <row r="83" spans="1:7" ht="15">
      <c r="A83" s="4">
        <v>45289</v>
      </c>
      <c r="B83" s="8">
        <v>1658</v>
      </c>
      <c r="C83" s="5" t="str">
        <f>"Транспортные средства"</f>
        <v>Транспортные средства</v>
      </c>
      <c r="D83" s="8"/>
      <c r="E83" s="8"/>
      <c r="F83" s="8"/>
      <c r="G83" s="6">
        <v>589768785.47</v>
      </c>
    </row>
    <row r="84" spans="1:7" ht="15">
      <c r="A84" s="4">
        <v>45289</v>
      </c>
      <c r="B84" s="8">
        <v>1659</v>
      </c>
      <c r="C84" s="5" t="str">
        <f>"Нематериальные активы"</f>
        <v>Нематериальные активы</v>
      </c>
      <c r="D84" s="8"/>
      <c r="E84" s="8"/>
      <c r="F84" s="8"/>
      <c r="G84" s="6">
        <v>50709862319.99</v>
      </c>
    </row>
    <row r="85" spans="1:7" ht="15">
      <c r="A85" s="4">
        <v>45289</v>
      </c>
      <c r="B85" s="8">
        <v>1692</v>
      </c>
      <c r="C85" s="5" t="str">
        <f>"Начисленная амортизация по зданиям и сооружениям"</f>
        <v>Начисленная амортизация по зданиям и сооружениям</v>
      </c>
      <c r="D85" s="8"/>
      <c r="E85" s="8"/>
      <c r="F85" s="8"/>
      <c r="G85" s="6">
        <v>-4876713027.21</v>
      </c>
    </row>
    <row r="86" spans="1:7" ht="15">
      <c r="A86" s="4">
        <v>45289</v>
      </c>
      <c r="B86" s="8">
        <v>1693</v>
      </c>
      <c r="C86" s="5" t="str">
        <f>"Начисленная амортизация по компьютерному оборудованию"</f>
        <v>Начисленная амортизация по компьютерному оборудованию</v>
      </c>
      <c r="D86" s="8"/>
      <c r="E86" s="8"/>
      <c r="F86" s="8"/>
      <c r="G86" s="6">
        <v>-12721646223.15</v>
      </c>
    </row>
    <row r="87" spans="1:7" ht="15">
      <c r="A87" s="4">
        <v>45289</v>
      </c>
      <c r="B87" s="8">
        <v>1694</v>
      </c>
      <c r="C87" s="5" t="str">
        <f>"Начисленная амортизация по прочим основным средствам"</f>
        <v>Начисленная амортизация по прочим основным средствам</v>
      </c>
      <c r="D87" s="8"/>
      <c r="E87" s="8"/>
      <c r="F87" s="8"/>
      <c r="G87" s="6">
        <v>-16022238675.96</v>
      </c>
    </row>
    <row r="88" spans="1:7" ht="15">
      <c r="A88" s="4">
        <v>45289</v>
      </c>
      <c r="B88" s="8">
        <v>1695</v>
      </c>
      <c r="C88" s="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88" s="8"/>
      <c r="E88" s="8"/>
      <c r="F88" s="8"/>
      <c r="G88" s="6">
        <v>-5924760540.8</v>
      </c>
    </row>
    <row r="89" spans="1:7" ht="15">
      <c r="A89" s="4">
        <v>45289</v>
      </c>
      <c r="B89" s="8">
        <v>1698</v>
      </c>
      <c r="C89" s="5" t="str">
        <f>"Начисленная амортизация по транспортным средствам"</f>
        <v>Начисленная амортизация по транспортным средствам</v>
      </c>
      <c r="D89" s="8"/>
      <c r="E89" s="8"/>
      <c r="F89" s="8"/>
      <c r="G89" s="6">
        <v>-302961468</v>
      </c>
    </row>
    <row r="90" spans="1:7" ht="15">
      <c r="A90" s="4">
        <v>45289</v>
      </c>
      <c r="B90" s="8">
        <v>1699</v>
      </c>
      <c r="C90" s="5" t="str">
        <f>"Начисленная амортизация по нематериальным активам"</f>
        <v>Начисленная амортизация по нематериальным активам</v>
      </c>
      <c r="D90" s="8"/>
      <c r="E90" s="8"/>
      <c r="F90" s="8"/>
      <c r="G90" s="6">
        <v>-26815693779.7</v>
      </c>
    </row>
    <row r="91" spans="1:7" ht="15">
      <c r="A91" s="4">
        <v>45289</v>
      </c>
      <c r="B91" s="8">
        <v>1710</v>
      </c>
      <c r="C91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1" s="8">
        <v>1</v>
      </c>
      <c r="E91" s="8">
        <v>3</v>
      </c>
      <c r="F91" s="8">
        <v>1</v>
      </c>
      <c r="G91" s="6">
        <v>701347222.23</v>
      </c>
    </row>
    <row r="92" spans="1:7" ht="15">
      <c r="A92" s="4">
        <v>45289</v>
      </c>
      <c r="B92" s="8">
        <v>1710</v>
      </c>
      <c r="C92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2" s="8">
        <v>1</v>
      </c>
      <c r="E92" s="8">
        <v>3</v>
      </c>
      <c r="F92" s="8">
        <v>2</v>
      </c>
      <c r="G92" s="6">
        <v>155638334.81</v>
      </c>
    </row>
    <row r="93" spans="1:7" ht="15">
      <c r="A93" s="4">
        <v>45289</v>
      </c>
      <c r="B93" s="8">
        <v>1725</v>
      </c>
      <c r="C93" s="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D93" s="8">
        <v>2</v>
      </c>
      <c r="E93" s="8">
        <v>4</v>
      </c>
      <c r="F93" s="8">
        <v>3</v>
      </c>
      <c r="G93" s="6">
        <v>20184547.97</v>
      </c>
    </row>
    <row r="94" spans="1:7" ht="15">
      <c r="A94" s="4">
        <v>45289</v>
      </c>
      <c r="B94" s="8">
        <v>1728</v>
      </c>
      <c r="C94" s="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D94" s="8">
        <v>2</v>
      </c>
      <c r="E94" s="8">
        <v>5</v>
      </c>
      <c r="F94" s="8">
        <v>2</v>
      </c>
      <c r="G94" s="6">
        <v>1162769.03</v>
      </c>
    </row>
    <row r="95" spans="1:7" ht="15">
      <c r="A95" s="4">
        <v>45289</v>
      </c>
      <c r="B95" s="8">
        <v>1740</v>
      </c>
      <c r="C95" s="5" t="str">
        <f aca="true" t="shared" si="3" ref="C95:C10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5" s="8">
        <v>1</v>
      </c>
      <c r="E95" s="8">
        <v>7</v>
      </c>
      <c r="F95" s="8">
        <v>1</v>
      </c>
      <c r="G95" s="6">
        <v>9900507354.81</v>
      </c>
    </row>
    <row r="96" spans="1:7" ht="15">
      <c r="A96" s="4">
        <v>45289</v>
      </c>
      <c r="B96" s="8">
        <v>1740</v>
      </c>
      <c r="C96" s="5" t="str">
        <f t="shared" si="3"/>
        <v>Начисленные доходы по займам и финансовому лизингу, предоставленным клиентам</v>
      </c>
      <c r="D96" s="8">
        <v>1</v>
      </c>
      <c r="E96" s="8">
        <v>7</v>
      </c>
      <c r="F96" s="8">
        <v>2</v>
      </c>
      <c r="G96" s="6">
        <v>15630531.97</v>
      </c>
    </row>
    <row r="97" spans="1:7" ht="15">
      <c r="A97" s="4">
        <v>45289</v>
      </c>
      <c r="B97" s="8">
        <v>1740</v>
      </c>
      <c r="C97" s="5" t="str">
        <f t="shared" si="3"/>
        <v>Начисленные доходы по займам и финансовому лизингу, предоставленным клиентам</v>
      </c>
      <c r="D97" s="8">
        <v>1</v>
      </c>
      <c r="E97" s="8">
        <v>7</v>
      </c>
      <c r="F97" s="8">
        <v>3</v>
      </c>
      <c r="G97" s="6">
        <v>108567052.1</v>
      </c>
    </row>
    <row r="98" spans="1:7" ht="15">
      <c r="A98" s="4">
        <v>45289</v>
      </c>
      <c r="B98" s="8">
        <v>1740</v>
      </c>
      <c r="C98" s="5" t="str">
        <f t="shared" si="3"/>
        <v>Начисленные доходы по займам и финансовому лизингу, предоставленным клиентам</v>
      </c>
      <c r="D98" s="8">
        <v>1</v>
      </c>
      <c r="E98" s="8">
        <v>9</v>
      </c>
      <c r="F98" s="8">
        <v>1</v>
      </c>
      <c r="G98" s="6">
        <v>9566607656.63</v>
      </c>
    </row>
    <row r="99" spans="1:7" ht="15">
      <c r="A99" s="4">
        <v>45289</v>
      </c>
      <c r="B99" s="8">
        <v>1740</v>
      </c>
      <c r="C99" s="5" t="str">
        <f t="shared" si="3"/>
        <v>Начисленные доходы по займам и финансовому лизингу, предоставленным клиентам</v>
      </c>
      <c r="D99" s="8">
        <v>1</v>
      </c>
      <c r="E99" s="8">
        <v>9</v>
      </c>
      <c r="F99" s="8">
        <v>2</v>
      </c>
      <c r="G99" s="6">
        <v>1742578.49</v>
      </c>
    </row>
    <row r="100" spans="1:7" ht="15">
      <c r="A100" s="4">
        <v>45289</v>
      </c>
      <c r="B100" s="8">
        <v>1740</v>
      </c>
      <c r="C100" s="5" t="str">
        <f t="shared" si="3"/>
        <v>Начисленные доходы по займам и финансовому лизингу, предоставленным клиентам</v>
      </c>
      <c r="D100" s="8">
        <v>2</v>
      </c>
      <c r="E100" s="8">
        <v>9</v>
      </c>
      <c r="F100" s="8">
        <v>1</v>
      </c>
      <c r="G100" s="6">
        <v>5322586.35</v>
      </c>
    </row>
    <row r="101" spans="1:7" ht="15">
      <c r="A101" s="4">
        <v>45289</v>
      </c>
      <c r="B101" s="8">
        <v>1741</v>
      </c>
      <c r="C101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1" s="8">
        <v>1</v>
      </c>
      <c r="E101" s="8">
        <v>5</v>
      </c>
      <c r="F101" s="8">
        <v>1</v>
      </c>
      <c r="G101" s="6">
        <v>156442660.33</v>
      </c>
    </row>
    <row r="102" spans="1:7" ht="15">
      <c r="A102" s="4">
        <v>45289</v>
      </c>
      <c r="B102" s="8">
        <v>1741</v>
      </c>
      <c r="C102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2" s="8">
        <v>1</v>
      </c>
      <c r="E102" s="8">
        <v>7</v>
      </c>
      <c r="F102" s="8">
        <v>1</v>
      </c>
      <c r="G102" s="6">
        <v>2362200887.44</v>
      </c>
    </row>
    <row r="103" spans="1:7" ht="15">
      <c r="A103" s="4">
        <v>45289</v>
      </c>
      <c r="B103" s="8">
        <v>1741</v>
      </c>
      <c r="C103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3" s="8">
        <v>1</v>
      </c>
      <c r="E103" s="8">
        <v>9</v>
      </c>
      <c r="F103" s="8">
        <v>1</v>
      </c>
      <c r="G103" s="6">
        <v>16490385958.06</v>
      </c>
    </row>
    <row r="104" spans="1:7" ht="15">
      <c r="A104" s="4">
        <v>45289</v>
      </c>
      <c r="B104" s="8">
        <v>1741</v>
      </c>
      <c r="C104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4" s="8">
        <v>1</v>
      </c>
      <c r="E104" s="8">
        <v>9</v>
      </c>
      <c r="F104" s="8">
        <v>2</v>
      </c>
      <c r="G104" s="6">
        <v>6544823.06</v>
      </c>
    </row>
    <row r="105" spans="1:7" ht="15">
      <c r="A105" s="4">
        <v>45289</v>
      </c>
      <c r="B105" s="8">
        <v>1741</v>
      </c>
      <c r="C105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5" s="8">
        <v>2</v>
      </c>
      <c r="E105" s="8">
        <v>9</v>
      </c>
      <c r="F105" s="8">
        <v>1</v>
      </c>
      <c r="G105" s="6">
        <v>3461033.4</v>
      </c>
    </row>
    <row r="106" spans="1:7" ht="15">
      <c r="A106" s="4">
        <v>45289</v>
      </c>
      <c r="B106" s="8">
        <v>1746</v>
      </c>
      <c r="C106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6" s="8">
        <v>1</v>
      </c>
      <c r="E106" s="8">
        <v>1</v>
      </c>
      <c r="F106" s="8">
        <v>1</v>
      </c>
      <c r="G106" s="6">
        <v>852000000</v>
      </c>
    </row>
    <row r="107" spans="1:7" ht="15">
      <c r="A107" s="4">
        <v>45289</v>
      </c>
      <c r="B107" s="8">
        <v>1746</v>
      </c>
      <c r="C107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7" s="8">
        <v>1</v>
      </c>
      <c r="E107" s="8">
        <v>5</v>
      </c>
      <c r="F107" s="8">
        <v>1</v>
      </c>
      <c r="G107" s="6">
        <v>313500000</v>
      </c>
    </row>
    <row r="108" spans="1:7" ht="15">
      <c r="A108" s="4">
        <v>45289</v>
      </c>
      <c r="B108" s="8">
        <v>1746</v>
      </c>
      <c r="C108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8" s="8">
        <v>1</v>
      </c>
      <c r="E108" s="8">
        <v>6</v>
      </c>
      <c r="F108" s="8">
        <v>1</v>
      </c>
      <c r="G108" s="6">
        <v>1043983561.65</v>
      </c>
    </row>
    <row r="109" spans="1:7" ht="15">
      <c r="A109" s="4">
        <v>45289</v>
      </c>
      <c r="B109" s="8">
        <v>1746</v>
      </c>
      <c r="C109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9" s="8">
        <v>2</v>
      </c>
      <c r="E109" s="8">
        <v>4</v>
      </c>
      <c r="F109" s="8">
        <v>1</v>
      </c>
      <c r="G109" s="6">
        <v>632916666.67</v>
      </c>
    </row>
    <row r="110" spans="1:7" ht="15">
      <c r="A110" s="4">
        <v>45289</v>
      </c>
      <c r="B110" s="8">
        <v>1748</v>
      </c>
      <c r="C110" s="5" t="s">
        <v>7</v>
      </c>
      <c r="D110" s="8">
        <v>1</v>
      </c>
      <c r="E110" s="8">
        <v>5</v>
      </c>
      <c r="F110" s="8">
        <v>1</v>
      </c>
      <c r="G110" s="6">
        <v>148569123.07</v>
      </c>
    </row>
    <row r="111" spans="1:7" ht="15">
      <c r="A111" s="4">
        <v>45289</v>
      </c>
      <c r="B111" s="8">
        <v>1793</v>
      </c>
      <c r="C111" s="5" t="str">
        <f>"Расходы будущих периодов"</f>
        <v>Расходы будущих периодов</v>
      </c>
      <c r="D111" s="8">
        <v>1</v>
      </c>
      <c r="E111" s="8">
        <v>4</v>
      </c>
      <c r="F111" s="8">
        <v>1</v>
      </c>
      <c r="G111" s="6">
        <v>211550.18</v>
      </c>
    </row>
    <row r="112" spans="1:7" ht="15">
      <c r="A112" s="4">
        <v>45289</v>
      </c>
      <c r="B112" s="8">
        <v>1793</v>
      </c>
      <c r="C112" s="5" t="str">
        <f>"Расходы будущих периодов"</f>
        <v>Расходы будущих периодов</v>
      </c>
      <c r="D112" s="8">
        <v>1</v>
      </c>
      <c r="E112" s="8">
        <v>5</v>
      </c>
      <c r="F112" s="8">
        <v>1</v>
      </c>
      <c r="G112" s="6">
        <v>22187262.29</v>
      </c>
    </row>
    <row r="113" spans="1:7" ht="15">
      <c r="A113" s="4">
        <v>45289</v>
      </c>
      <c r="B113" s="8">
        <v>1793</v>
      </c>
      <c r="C113" s="5" t="str">
        <f>"Расходы будущих периодов"</f>
        <v>Расходы будущих периодов</v>
      </c>
      <c r="D113" s="8">
        <v>1</v>
      </c>
      <c r="E113" s="8">
        <v>7</v>
      </c>
      <c r="F113" s="8">
        <v>1</v>
      </c>
      <c r="G113" s="6">
        <v>1284023031.08</v>
      </c>
    </row>
    <row r="114" spans="1:7" ht="15">
      <c r="A114" s="4">
        <v>45289</v>
      </c>
      <c r="B114" s="8">
        <v>1793</v>
      </c>
      <c r="C114" s="5" t="str">
        <f>"Расходы будущих периодов"</f>
        <v>Расходы будущих периодов</v>
      </c>
      <c r="D114" s="8">
        <v>1</v>
      </c>
      <c r="E114" s="8">
        <v>9</v>
      </c>
      <c r="F114" s="8">
        <v>1</v>
      </c>
      <c r="G114" s="6">
        <v>437500</v>
      </c>
    </row>
    <row r="115" spans="1:7" ht="15">
      <c r="A115" s="4">
        <v>45289</v>
      </c>
      <c r="B115" s="8">
        <v>1793</v>
      </c>
      <c r="C115" s="5" t="str">
        <f>"Расходы будущих периодов"</f>
        <v>Расходы будущих периодов</v>
      </c>
      <c r="D115" s="8">
        <v>2</v>
      </c>
      <c r="E115" s="8">
        <v>7</v>
      </c>
      <c r="F115" s="8">
        <v>1</v>
      </c>
      <c r="G115" s="6">
        <v>96987622.57</v>
      </c>
    </row>
    <row r="116" spans="1:7" ht="15">
      <c r="A116" s="4">
        <v>45289</v>
      </c>
      <c r="B116" s="8">
        <v>1799</v>
      </c>
      <c r="C116" s="5" t="str">
        <f>"Прочие предоплаты"</f>
        <v>Прочие предоплаты</v>
      </c>
      <c r="D116" s="8">
        <v>1</v>
      </c>
      <c r="E116" s="8">
        <v>5</v>
      </c>
      <c r="F116" s="8">
        <v>1</v>
      </c>
      <c r="G116" s="6">
        <v>163124418.1</v>
      </c>
    </row>
    <row r="117" spans="1:7" ht="15">
      <c r="A117" s="4">
        <v>45289</v>
      </c>
      <c r="B117" s="8">
        <v>1799</v>
      </c>
      <c r="C117" s="5" t="str">
        <f>"Прочие предоплаты"</f>
        <v>Прочие предоплаты</v>
      </c>
      <c r="D117" s="8">
        <v>1</v>
      </c>
      <c r="E117" s="8">
        <v>6</v>
      </c>
      <c r="F117" s="8">
        <v>1</v>
      </c>
      <c r="G117" s="6">
        <v>112000</v>
      </c>
    </row>
    <row r="118" spans="1:7" ht="15">
      <c r="A118" s="4">
        <v>45289</v>
      </c>
      <c r="B118" s="8">
        <v>1799</v>
      </c>
      <c r="C118" s="5" t="str">
        <f>"Прочие предоплаты"</f>
        <v>Прочие предоплаты</v>
      </c>
      <c r="D118" s="8">
        <v>1</v>
      </c>
      <c r="E118" s="8">
        <v>7</v>
      </c>
      <c r="F118" s="8">
        <v>1</v>
      </c>
      <c r="G118" s="6">
        <v>105289732.94</v>
      </c>
    </row>
    <row r="119" spans="1:7" ht="15">
      <c r="A119" s="4">
        <v>45289</v>
      </c>
      <c r="B119" s="8">
        <v>1799</v>
      </c>
      <c r="C119" s="5" t="str">
        <f>"Прочие предоплаты"</f>
        <v>Прочие предоплаты</v>
      </c>
      <c r="D119" s="8">
        <v>1</v>
      </c>
      <c r="E119" s="8">
        <v>9</v>
      </c>
      <c r="F119" s="8">
        <v>1</v>
      </c>
      <c r="G119" s="6">
        <v>1464998</v>
      </c>
    </row>
    <row r="120" spans="1:7" ht="15">
      <c r="A120" s="4">
        <v>45289</v>
      </c>
      <c r="B120" s="8">
        <v>1799</v>
      </c>
      <c r="C120" s="5" t="str">
        <f>"Прочие предоплаты"</f>
        <v>Прочие предоплаты</v>
      </c>
      <c r="D120" s="8">
        <v>2</v>
      </c>
      <c r="E120" s="8">
        <v>7</v>
      </c>
      <c r="F120" s="8">
        <v>1</v>
      </c>
      <c r="G120" s="6">
        <v>115652621.28</v>
      </c>
    </row>
    <row r="121" spans="1:7" ht="15">
      <c r="A121" s="4">
        <v>45289</v>
      </c>
      <c r="B121" s="8">
        <v>1818</v>
      </c>
      <c r="C121" s="5" t="str">
        <f>"Начисленные прочие комиссионные доходы"</f>
        <v>Начисленные прочие комиссионные доходы</v>
      </c>
      <c r="D121" s="8">
        <v>1</v>
      </c>
      <c r="E121" s="8"/>
      <c r="F121" s="8">
        <v>1</v>
      </c>
      <c r="G121" s="6">
        <v>15225020.65</v>
      </c>
    </row>
    <row r="122" spans="1:7" ht="15">
      <c r="A122" s="4">
        <v>45289</v>
      </c>
      <c r="B122" s="8">
        <v>1819</v>
      </c>
      <c r="C122" s="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2" s="8">
        <v>1</v>
      </c>
      <c r="E122" s="8"/>
      <c r="F122" s="8">
        <v>1</v>
      </c>
      <c r="G122" s="6">
        <v>58216261.7</v>
      </c>
    </row>
    <row r="123" spans="1:7" ht="15">
      <c r="A123" s="4">
        <v>45289</v>
      </c>
      <c r="B123" s="8">
        <v>1819</v>
      </c>
      <c r="C123" s="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3" s="8">
        <v>2</v>
      </c>
      <c r="E123" s="8"/>
      <c r="F123" s="8">
        <v>1</v>
      </c>
      <c r="G123" s="6">
        <v>580501.82</v>
      </c>
    </row>
    <row r="124" spans="1:7" ht="15">
      <c r="A124" s="4">
        <v>45289</v>
      </c>
      <c r="B124" s="8">
        <v>1822</v>
      </c>
      <c r="C124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4" s="8">
        <v>1</v>
      </c>
      <c r="E124" s="8"/>
      <c r="F124" s="8">
        <v>1</v>
      </c>
      <c r="G124" s="6">
        <v>39164010.63</v>
      </c>
    </row>
    <row r="125" spans="1:7" ht="15">
      <c r="A125" s="4">
        <v>45289</v>
      </c>
      <c r="B125" s="8">
        <v>1822</v>
      </c>
      <c r="C125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5" s="8">
        <v>1</v>
      </c>
      <c r="E125" s="8"/>
      <c r="F125" s="8">
        <v>2</v>
      </c>
      <c r="G125" s="6">
        <v>652693.61</v>
      </c>
    </row>
    <row r="126" spans="1:7" ht="15">
      <c r="A126" s="4">
        <v>45289</v>
      </c>
      <c r="B126" s="8">
        <v>1822</v>
      </c>
      <c r="C126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6" s="8">
        <v>1</v>
      </c>
      <c r="E126" s="8"/>
      <c r="F126" s="8">
        <v>3</v>
      </c>
      <c r="G126" s="6">
        <v>11863.23</v>
      </c>
    </row>
    <row r="127" spans="1:7" ht="15">
      <c r="A127" s="4">
        <v>45289</v>
      </c>
      <c r="B127" s="8">
        <v>1822</v>
      </c>
      <c r="C127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7" s="8">
        <v>2</v>
      </c>
      <c r="E127" s="8"/>
      <c r="F127" s="8">
        <v>2</v>
      </c>
      <c r="G127" s="6">
        <v>15789591.88</v>
      </c>
    </row>
    <row r="128" spans="1:7" ht="15">
      <c r="A128" s="4">
        <v>45289</v>
      </c>
      <c r="B128" s="8">
        <v>1827</v>
      </c>
      <c r="C128" s="5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128" s="8">
        <v>1</v>
      </c>
      <c r="E128" s="8"/>
      <c r="F128" s="8">
        <v>1</v>
      </c>
      <c r="G128" s="6">
        <v>2992234</v>
      </c>
    </row>
    <row r="129" spans="1:7" ht="15">
      <c r="A129" s="4">
        <v>45289</v>
      </c>
      <c r="B129" s="8">
        <v>1836</v>
      </c>
      <c r="C129" s="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29" s="8">
        <v>1</v>
      </c>
      <c r="E129" s="8"/>
      <c r="F129" s="8">
        <v>1</v>
      </c>
      <c r="G129" s="6">
        <v>21008844.29</v>
      </c>
    </row>
    <row r="130" spans="1:7" ht="15">
      <c r="A130" s="4">
        <v>45289</v>
      </c>
      <c r="B130" s="8">
        <v>1836</v>
      </c>
      <c r="C130" s="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0" s="8">
        <v>1</v>
      </c>
      <c r="E130" s="8"/>
      <c r="F130" s="8">
        <v>3</v>
      </c>
      <c r="G130" s="6">
        <v>12649.49</v>
      </c>
    </row>
    <row r="131" spans="1:7" ht="15">
      <c r="A131" s="4">
        <v>45289</v>
      </c>
      <c r="B131" s="8">
        <v>1838</v>
      </c>
      <c r="C131" s="5" t="str">
        <f>"Просроченные прочие комиссионные доходы"</f>
        <v>Просроченные прочие комиссионные доходы</v>
      </c>
      <c r="D131" s="8">
        <v>1</v>
      </c>
      <c r="E131" s="8"/>
      <c r="F131" s="8">
        <v>1</v>
      </c>
      <c r="G131" s="6">
        <v>810000</v>
      </c>
    </row>
    <row r="132" spans="1:7" ht="15">
      <c r="A132" s="4">
        <v>45289</v>
      </c>
      <c r="B132" s="8">
        <v>1839</v>
      </c>
      <c r="C132" s="5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D132" s="8">
        <v>2</v>
      </c>
      <c r="E132" s="8"/>
      <c r="F132" s="8">
        <v>1</v>
      </c>
      <c r="G132" s="6">
        <v>840000</v>
      </c>
    </row>
    <row r="133" spans="1:7" ht="15">
      <c r="A133" s="4">
        <v>45289</v>
      </c>
      <c r="B133" s="8">
        <v>1842</v>
      </c>
      <c r="C133" s="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D133" s="8">
        <v>1</v>
      </c>
      <c r="E133" s="8"/>
      <c r="F133" s="8">
        <v>2</v>
      </c>
      <c r="G133" s="6">
        <v>10217831.72</v>
      </c>
    </row>
    <row r="134" spans="1:7" ht="15">
      <c r="A134" s="4">
        <v>45289</v>
      </c>
      <c r="B134" s="8">
        <v>1845</v>
      </c>
      <c r="C134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4" s="8">
        <v>1</v>
      </c>
      <c r="E134" s="8"/>
      <c r="F134" s="8">
        <v>1</v>
      </c>
      <c r="G134" s="6">
        <v>-23518038.07</v>
      </c>
    </row>
    <row r="135" spans="1:7" ht="15">
      <c r="A135" s="4">
        <v>45289</v>
      </c>
      <c r="B135" s="8">
        <v>1845</v>
      </c>
      <c r="C135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5" s="8">
        <v>1</v>
      </c>
      <c r="E135" s="8"/>
      <c r="F135" s="8">
        <v>2</v>
      </c>
      <c r="G135" s="6">
        <v>-10217831.72</v>
      </c>
    </row>
    <row r="136" spans="1:7" ht="15">
      <c r="A136" s="4">
        <v>45289</v>
      </c>
      <c r="B136" s="8">
        <v>1851</v>
      </c>
      <c r="C136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136" s="8">
        <v>1</v>
      </c>
      <c r="E136" s="8">
        <v>1</v>
      </c>
      <c r="F136" s="8">
        <v>1</v>
      </c>
      <c r="G136" s="6">
        <v>4696635005.61</v>
      </c>
    </row>
    <row r="137" spans="1:7" ht="15">
      <c r="A137" s="4">
        <v>45289</v>
      </c>
      <c r="B137" s="8">
        <v>1852</v>
      </c>
      <c r="C137" s="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37" s="8">
        <v>1</v>
      </c>
      <c r="E137" s="8">
        <v>5</v>
      </c>
      <c r="F137" s="8">
        <v>1</v>
      </c>
      <c r="G137" s="6">
        <v>1458173624.3</v>
      </c>
    </row>
    <row r="138" spans="1:7" ht="15">
      <c r="A138" s="4">
        <v>45289</v>
      </c>
      <c r="B138" s="8">
        <v>1852</v>
      </c>
      <c r="C138" s="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38" s="8">
        <v>2</v>
      </c>
      <c r="E138" s="8">
        <v>5</v>
      </c>
      <c r="F138" s="8">
        <v>3</v>
      </c>
      <c r="G138" s="6">
        <v>9639618.73</v>
      </c>
    </row>
    <row r="139" spans="1:7" ht="15">
      <c r="A139" s="4">
        <v>45289</v>
      </c>
      <c r="B139" s="8">
        <v>1854</v>
      </c>
      <c r="C139" s="5" t="str">
        <f>"Расчеты с работниками"</f>
        <v>Расчеты с работниками</v>
      </c>
      <c r="D139" s="8"/>
      <c r="E139" s="8"/>
      <c r="F139" s="8"/>
      <c r="G139" s="6">
        <v>2376161.46</v>
      </c>
    </row>
    <row r="140" spans="1:7" ht="15">
      <c r="A140" s="4">
        <v>45289</v>
      </c>
      <c r="B140" s="8">
        <v>1855</v>
      </c>
      <c r="C140" s="5" t="str">
        <f>"Дебиторы по документарным расчетам"</f>
        <v>Дебиторы по документарным расчетам</v>
      </c>
      <c r="D140" s="8">
        <v>1</v>
      </c>
      <c r="E140" s="8">
        <v>7</v>
      </c>
      <c r="F140" s="8">
        <v>2</v>
      </c>
      <c r="G140" s="6">
        <v>642196368.08</v>
      </c>
    </row>
    <row r="141" spans="1:7" ht="15">
      <c r="A141" s="4">
        <v>45289</v>
      </c>
      <c r="B141" s="8">
        <v>1856</v>
      </c>
      <c r="C141" s="5" t="str">
        <f>"Дебиторы по капитальным вложениям"</f>
        <v>Дебиторы по капитальным вложениям</v>
      </c>
      <c r="D141" s="8">
        <v>1</v>
      </c>
      <c r="E141" s="8">
        <v>7</v>
      </c>
      <c r="F141" s="8">
        <v>1</v>
      </c>
      <c r="G141" s="6">
        <v>1357506</v>
      </c>
    </row>
    <row r="142" spans="1:7" ht="15">
      <c r="A142" s="4">
        <v>45289</v>
      </c>
      <c r="B142" s="8">
        <v>1857</v>
      </c>
      <c r="C142" s="5" t="str">
        <f>"Отложенные налоговые активы"</f>
        <v>Отложенные налоговые активы</v>
      </c>
      <c r="D142" s="8"/>
      <c r="E142" s="8"/>
      <c r="F142" s="8"/>
      <c r="G142" s="6">
        <v>141138103</v>
      </c>
    </row>
    <row r="143" spans="1:7" ht="15">
      <c r="A143" s="4">
        <v>45289</v>
      </c>
      <c r="B143" s="8">
        <v>1860</v>
      </c>
      <c r="C143" s="5" t="str">
        <f aca="true" t="shared" si="4" ref="C143:C159">"Прочие дебиторы по банковской деятельности"</f>
        <v>Прочие дебиторы по банковской деятельности</v>
      </c>
      <c r="D143" s="8">
        <v>1</v>
      </c>
      <c r="E143" s="8">
        <v>1</v>
      </c>
      <c r="F143" s="8">
        <v>1</v>
      </c>
      <c r="G143" s="6">
        <v>493960361.81</v>
      </c>
    </row>
    <row r="144" spans="1:7" ht="15">
      <c r="A144" s="4">
        <v>45289</v>
      </c>
      <c r="B144" s="8">
        <v>1860</v>
      </c>
      <c r="C144" s="5" t="str">
        <f t="shared" si="4"/>
        <v>Прочие дебиторы по банковской деятельности</v>
      </c>
      <c r="D144" s="8">
        <v>1</v>
      </c>
      <c r="E144" s="8">
        <v>4</v>
      </c>
      <c r="F144" s="8">
        <v>1</v>
      </c>
      <c r="G144" s="6">
        <v>1523534183.94</v>
      </c>
    </row>
    <row r="145" spans="1:7" ht="15">
      <c r="A145" s="4">
        <v>45289</v>
      </c>
      <c r="B145" s="8">
        <v>1860</v>
      </c>
      <c r="C145" s="5" t="str">
        <f t="shared" si="4"/>
        <v>Прочие дебиторы по банковской деятельности</v>
      </c>
      <c r="D145" s="8">
        <v>1</v>
      </c>
      <c r="E145" s="8">
        <v>4</v>
      </c>
      <c r="F145" s="8">
        <v>2</v>
      </c>
      <c r="G145" s="6">
        <v>12517742.23</v>
      </c>
    </row>
    <row r="146" spans="1:7" ht="15">
      <c r="A146" s="4">
        <v>45289</v>
      </c>
      <c r="B146" s="8">
        <v>1860</v>
      </c>
      <c r="C146" s="5" t="str">
        <f t="shared" si="4"/>
        <v>Прочие дебиторы по банковской деятельности</v>
      </c>
      <c r="D146" s="8">
        <v>1</v>
      </c>
      <c r="E146" s="8">
        <v>4</v>
      </c>
      <c r="F146" s="8">
        <v>3</v>
      </c>
      <c r="G146" s="6">
        <v>1415066.1</v>
      </c>
    </row>
    <row r="147" spans="1:7" ht="15">
      <c r="A147" s="4">
        <v>45289</v>
      </c>
      <c r="B147" s="8">
        <v>1860</v>
      </c>
      <c r="C147" s="5" t="str">
        <f t="shared" si="4"/>
        <v>Прочие дебиторы по банковской деятельности</v>
      </c>
      <c r="D147" s="8">
        <v>1</v>
      </c>
      <c r="E147" s="8">
        <v>5</v>
      </c>
      <c r="F147" s="8">
        <v>1</v>
      </c>
      <c r="G147" s="6">
        <v>17323068.18</v>
      </c>
    </row>
    <row r="148" spans="1:7" ht="15">
      <c r="A148" s="4">
        <v>45289</v>
      </c>
      <c r="B148" s="8">
        <v>1860</v>
      </c>
      <c r="C148" s="5" t="str">
        <f t="shared" si="4"/>
        <v>Прочие дебиторы по банковской деятельности</v>
      </c>
      <c r="D148" s="8">
        <v>1</v>
      </c>
      <c r="E148" s="8">
        <v>5</v>
      </c>
      <c r="F148" s="8">
        <v>2</v>
      </c>
      <c r="G148" s="6">
        <v>1452733067.03</v>
      </c>
    </row>
    <row r="149" spans="1:7" ht="15">
      <c r="A149" s="4">
        <v>45289</v>
      </c>
      <c r="B149" s="8">
        <v>1860</v>
      </c>
      <c r="C149" s="5" t="str">
        <f t="shared" si="4"/>
        <v>Прочие дебиторы по банковской деятельности</v>
      </c>
      <c r="D149" s="8">
        <v>1</v>
      </c>
      <c r="E149" s="8">
        <v>6</v>
      </c>
      <c r="F149" s="8">
        <v>1</v>
      </c>
      <c r="G149" s="6">
        <v>62681003.07</v>
      </c>
    </row>
    <row r="150" spans="1:7" ht="15">
      <c r="A150" s="4">
        <v>45289</v>
      </c>
      <c r="B150" s="8">
        <v>1860</v>
      </c>
      <c r="C150" s="5" t="str">
        <f t="shared" si="4"/>
        <v>Прочие дебиторы по банковской деятельности</v>
      </c>
      <c r="D150" s="8">
        <v>1</v>
      </c>
      <c r="E150" s="8">
        <v>7</v>
      </c>
      <c r="F150" s="8">
        <v>1</v>
      </c>
      <c r="G150" s="6">
        <v>196932876.23</v>
      </c>
    </row>
    <row r="151" spans="1:7" ht="15">
      <c r="A151" s="4">
        <v>45289</v>
      </c>
      <c r="B151" s="8">
        <v>1860</v>
      </c>
      <c r="C151" s="5" t="str">
        <f t="shared" si="4"/>
        <v>Прочие дебиторы по банковской деятельности</v>
      </c>
      <c r="D151" s="8">
        <v>1</v>
      </c>
      <c r="E151" s="8">
        <v>9</v>
      </c>
      <c r="F151" s="8">
        <v>1</v>
      </c>
      <c r="G151" s="6">
        <v>916946089.7</v>
      </c>
    </row>
    <row r="152" spans="1:7" ht="15">
      <c r="A152" s="4">
        <v>45289</v>
      </c>
      <c r="B152" s="8">
        <v>1860</v>
      </c>
      <c r="C152" s="5" t="str">
        <f t="shared" si="4"/>
        <v>Прочие дебиторы по банковской деятельности</v>
      </c>
      <c r="D152" s="8">
        <v>1</v>
      </c>
      <c r="E152" s="8">
        <v>9</v>
      </c>
      <c r="F152" s="8">
        <v>2</v>
      </c>
      <c r="G152" s="6">
        <v>821664521.95</v>
      </c>
    </row>
    <row r="153" spans="1:7" ht="15">
      <c r="A153" s="4">
        <v>45289</v>
      </c>
      <c r="B153" s="8">
        <v>1860</v>
      </c>
      <c r="C153" s="5" t="str">
        <f t="shared" si="4"/>
        <v>Прочие дебиторы по банковской деятельности</v>
      </c>
      <c r="D153" s="8">
        <v>1</v>
      </c>
      <c r="E153" s="8">
        <v>9</v>
      </c>
      <c r="F153" s="8">
        <v>3</v>
      </c>
      <c r="G153" s="6">
        <v>17722424.98</v>
      </c>
    </row>
    <row r="154" spans="1:7" ht="15">
      <c r="A154" s="4">
        <v>45289</v>
      </c>
      <c r="B154" s="8">
        <v>1860</v>
      </c>
      <c r="C154" s="5" t="str">
        <f t="shared" si="4"/>
        <v>Прочие дебиторы по банковской деятельности</v>
      </c>
      <c r="D154" s="8">
        <v>2</v>
      </c>
      <c r="E154" s="8">
        <v>5</v>
      </c>
      <c r="F154" s="8">
        <v>1</v>
      </c>
      <c r="G154" s="6">
        <v>942787</v>
      </c>
    </row>
    <row r="155" spans="1:7" ht="15">
      <c r="A155" s="4">
        <v>45289</v>
      </c>
      <c r="B155" s="8">
        <v>1860</v>
      </c>
      <c r="C155" s="5" t="str">
        <f t="shared" si="4"/>
        <v>Прочие дебиторы по банковской деятельности</v>
      </c>
      <c r="D155" s="8">
        <v>2</v>
      </c>
      <c r="E155" s="8">
        <v>7</v>
      </c>
      <c r="F155" s="8">
        <v>1</v>
      </c>
      <c r="G155" s="6">
        <v>8594771.75</v>
      </c>
    </row>
    <row r="156" spans="1:7" ht="15">
      <c r="A156" s="4">
        <v>45289</v>
      </c>
      <c r="B156" s="8">
        <v>1860</v>
      </c>
      <c r="C156" s="5" t="str">
        <f t="shared" si="4"/>
        <v>Прочие дебиторы по банковской деятельности</v>
      </c>
      <c r="D156" s="8">
        <v>2</v>
      </c>
      <c r="E156" s="8">
        <v>7</v>
      </c>
      <c r="F156" s="8">
        <v>2</v>
      </c>
      <c r="G156" s="6">
        <v>22728000</v>
      </c>
    </row>
    <row r="157" spans="1:7" ht="15">
      <c r="A157" s="4">
        <v>45289</v>
      </c>
      <c r="B157" s="8">
        <v>1860</v>
      </c>
      <c r="C157" s="5" t="str">
        <f t="shared" si="4"/>
        <v>Прочие дебиторы по банковской деятельности</v>
      </c>
      <c r="D157" s="8">
        <v>2</v>
      </c>
      <c r="E157" s="8">
        <v>9</v>
      </c>
      <c r="F157" s="8">
        <v>1</v>
      </c>
      <c r="G157" s="6">
        <v>7181924.33</v>
      </c>
    </row>
    <row r="158" spans="1:7" ht="15">
      <c r="A158" s="4">
        <v>45289</v>
      </c>
      <c r="B158" s="8">
        <v>1860</v>
      </c>
      <c r="C158" s="5" t="str">
        <f t="shared" si="4"/>
        <v>Прочие дебиторы по банковской деятельности</v>
      </c>
      <c r="D158" s="8">
        <v>2</v>
      </c>
      <c r="E158" s="8">
        <v>9</v>
      </c>
      <c r="F158" s="8">
        <v>2</v>
      </c>
      <c r="G158" s="6">
        <v>13030789.7</v>
      </c>
    </row>
    <row r="159" spans="1:7" ht="15">
      <c r="A159" s="4">
        <v>45289</v>
      </c>
      <c r="B159" s="8">
        <v>1860</v>
      </c>
      <c r="C159" s="5" t="str">
        <f t="shared" si="4"/>
        <v>Прочие дебиторы по банковской деятельности</v>
      </c>
      <c r="D159" s="8">
        <v>2</v>
      </c>
      <c r="E159" s="8">
        <v>9</v>
      </c>
      <c r="F159" s="8">
        <v>3</v>
      </c>
      <c r="G159" s="6">
        <v>919007.22</v>
      </c>
    </row>
    <row r="160" spans="1:7" ht="15">
      <c r="A160" s="4">
        <v>45289</v>
      </c>
      <c r="B160" s="8">
        <v>1861</v>
      </c>
      <c r="C160" s="5" t="str">
        <f>"Дебиторы по гарантиям"</f>
        <v>Дебиторы по гарантиям</v>
      </c>
      <c r="D160" s="8">
        <v>1</v>
      </c>
      <c r="E160" s="8">
        <v>7</v>
      </c>
      <c r="F160" s="8">
        <v>1</v>
      </c>
      <c r="G160" s="6">
        <v>144407988.92</v>
      </c>
    </row>
    <row r="161" spans="1:7" ht="15">
      <c r="A161" s="4">
        <v>45289</v>
      </c>
      <c r="B161" s="8">
        <v>1867</v>
      </c>
      <c r="C161" s="5" t="str">
        <f aca="true" t="shared" si="5" ref="C161:C166">"Прочие дебиторы по неосновной деятельности"</f>
        <v>Прочие дебиторы по неосновной деятельности</v>
      </c>
      <c r="D161" s="8">
        <v>1</v>
      </c>
      <c r="E161" s="8">
        <v>1</v>
      </c>
      <c r="F161" s="8">
        <v>1</v>
      </c>
      <c r="G161" s="6">
        <v>1567279.5</v>
      </c>
    </row>
    <row r="162" spans="1:7" ht="15">
      <c r="A162" s="4">
        <v>45289</v>
      </c>
      <c r="B162" s="8">
        <v>1867</v>
      </c>
      <c r="C162" s="5" t="str">
        <f t="shared" si="5"/>
        <v>Прочие дебиторы по неосновной деятельности</v>
      </c>
      <c r="D162" s="8">
        <v>1</v>
      </c>
      <c r="E162" s="8">
        <v>5</v>
      </c>
      <c r="F162" s="8">
        <v>1</v>
      </c>
      <c r="G162" s="6">
        <v>345000</v>
      </c>
    </row>
    <row r="163" spans="1:7" ht="15">
      <c r="A163" s="4">
        <v>45289</v>
      </c>
      <c r="B163" s="8">
        <v>1867</v>
      </c>
      <c r="C163" s="5" t="str">
        <f t="shared" si="5"/>
        <v>Прочие дебиторы по неосновной деятельности</v>
      </c>
      <c r="D163" s="8">
        <v>1</v>
      </c>
      <c r="E163" s="8">
        <v>6</v>
      </c>
      <c r="F163" s="8">
        <v>1</v>
      </c>
      <c r="G163" s="6">
        <v>29743827.29</v>
      </c>
    </row>
    <row r="164" spans="1:7" ht="15">
      <c r="A164" s="4">
        <v>45289</v>
      </c>
      <c r="B164" s="8">
        <v>1867</v>
      </c>
      <c r="C164" s="5" t="str">
        <f t="shared" si="5"/>
        <v>Прочие дебиторы по неосновной деятельности</v>
      </c>
      <c r="D164" s="8">
        <v>1</v>
      </c>
      <c r="E164" s="8">
        <v>7</v>
      </c>
      <c r="F164" s="8">
        <v>1</v>
      </c>
      <c r="G164" s="6">
        <v>471111554.03</v>
      </c>
    </row>
    <row r="165" spans="1:7" ht="15">
      <c r="A165" s="4">
        <v>45289</v>
      </c>
      <c r="B165" s="8">
        <v>1867</v>
      </c>
      <c r="C165" s="5" t="str">
        <f t="shared" si="5"/>
        <v>Прочие дебиторы по неосновной деятельности</v>
      </c>
      <c r="D165" s="8">
        <v>1</v>
      </c>
      <c r="E165" s="8">
        <v>9</v>
      </c>
      <c r="F165" s="8">
        <v>1</v>
      </c>
      <c r="G165" s="6">
        <v>23686682.13</v>
      </c>
    </row>
    <row r="166" spans="1:7" ht="15">
      <c r="A166" s="4">
        <v>45289</v>
      </c>
      <c r="B166" s="8">
        <v>1867</v>
      </c>
      <c r="C166" s="5" t="str">
        <f t="shared" si="5"/>
        <v>Прочие дебиторы по неосновной деятельности</v>
      </c>
      <c r="D166" s="8">
        <v>2</v>
      </c>
      <c r="E166" s="8">
        <v>7</v>
      </c>
      <c r="F166" s="8">
        <v>1</v>
      </c>
      <c r="G166" s="6">
        <v>3074625</v>
      </c>
    </row>
    <row r="167" spans="1:7" ht="15">
      <c r="A167" s="4">
        <v>45289</v>
      </c>
      <c r="B167" s="8">
        <v>1870</v>
      </c>
      <c r="C167" s="5" t="str">
        <f>"Прочие транзитные счета"</f>
        <v>Прочие транзитные счета</v>
      </c>
      <c r="D167" s="8">
        <v>1</v>
      </c>
      <c r="E167" s="8">
        <v>4</v>
      </c>
      <c r="F167" s="8">
        <v>1</v>
      </c>
      <c r="G167" s="6">
        <v>3218202312.55</v>
      </c>
    </row>
    <row r="168" spans="1:7" ht="15">
      <c r="A168" s="4">
        <v>45289</v>
      </c>
      <c r="B168" s="8">
        <v>1870</v>
      </c>
      <c r="C168" s="5" t="str">
        <f>"Прочие транзитные счета"</f>
        <v>Прочие транзитные счета</v>
      </c>
      <c r="D168" s="8">
        <v>1</v>
      </c>
      <c r="E168" s="8">
        <v>4</v>
      </c>
      <c r="F168" s="8">
        <v>2</v>
      </c>
      <c r="G168" s="6">
        <v>133671365.48</v>
      </c>
    </row>
    <row r="169" spans="1:7" ht="15">
      <c r="A169" s="4">
        <v>45289</v>
      </c>
      <c r="B169" s="8">
        <v>1870</v>
      </c>
      <c r="C169" s="5" t="str">
        <f>"Прочие транзитные счета"</f>
        <v>Прочие транзитные счета</v>
      </c>
      <c r="D169" s="8">
        <v>1</v>
      </c>
      <c r="E169" s="8">
        <v>4</v>
      </c>
      <c r="F169" s="8">
        <v>3</v>
      </c>
      <c r="G169" s="6">
        <v>468428455.06</v>
      </c>
    </row>
    <row r="170" spans="1:7" ht="15">
      <c r="A170" s="4">
        <v>45289</v>
      </c>
      <c r="B170" s="8">
        <v>1870</v>
      </c>
      <c r="C170" s="5" t="str">
        <f>"Прочие транзитные счета"</f>
        <v>Прочие транзитные счета</v>
      </c>
      <c r="D170" s="8">
        <v>1</v>
      </c>
      <c r="E170" s="8">
        <v>9</v>
      </c>
      <c r="F170" s="8">
        <v>1</v>
      </c>
      <c r="G170" s="6">
        <v>373898266.92</v>
      </c>
    </row>
    <row r="171" spans="1:7" ht="15">
      <c r="A171" s="4">
        <v>45289</v>
      </c>
      <c r="B171" s="8">
        <v>1870</v>
      </c>
      <c r="C171" s="5" t="str">
        <f>"Прочие транзитные счета"</f>
        <v>Прочие транзитные счета</v>
      </c>
      <c r="D171" s="8">
        <v>1</v>
      </c>
      <c r="E171" s="8">
        <v>9</v>
      </c>
      <c r="F171" s="8">
        <v>2</v>
      </c>
      <c r="G171" s="6">
        <v>1493487485.88</v>
      </c>
    </row>
    <row r="172" spans="1:7" ht="15">
      <c r="A172" s="4">
        <v>45289</v>
      </c>
      <c r="B172" s="8">
        <v>1877</v>
      </c>
      <c r="C172" s="5" t="str">
        <f aca="true" t="shared" si="6" ref="C172:C18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172" s="8">
        <v>1</v>
      </c>
      <c r="E172" s="8">
        <v>1</v>
      </c>
      <c r="F172" s="8">
        <v>1</v>
      </c>
      <c r="G172" s="6">
        <v>-121653.5</v>
      </c>
    </row>
    <row r="173" spans="1:7" ht="15">
      <c r="A173" s="4">
        <v>45289</v>
      </c>
      <c r="B173" s="8">
        <v>1877</v>
      </c>
      <c r="C173" s="5" t="str">
        <f t="shared" si="6"/>
        <v>Резервы (провизии) по дебиторской задолженности, связанной с банковской деятельностью</v>
      </c>
      <c r="D173" s="8">
        <v>1</v>
      </c>
      <c r="E173" s="8">
        <v>4</v>
      </c>
      <c r="F173" s="8">
        <v>1</v>
      </c>
      <c r="G173" s="6">
        <v>-1353192143.94</v>
      </c>
    </row>
    <row r="174" spans="1:7" ht="15">
      <c r="A174" s="4">
        <v>45289</v>
      </c>
      <c r="B174" s="8">
        <v>1877</v>
      </c>
      <c r="C174" s="5" t="str">
        <f t="shared" si="6"/>
        <v>Резервы (провизии) по дебиторской задолженности, связанной с банковской деятельностью</v>
      </c>
      <c r="D174" s="8">
        <v>1</v>
      </c>
      <c r="E174" s="8">
        <v>4</v>
      </c>
      <c r="F174" s="8">
        <v>2</v>
      </c>
      <c r="G174" s="6">
        <v>-136690124.92</v>
      </c>
    </row>
    <row r="175" spans="1:7" ht="15">
      <c r="A175" s="4">
        <v>45289</v>
      </c>
      <c r="B175" s="8">
        <v>1877</v>
      </c>
      <c r="C175" s="5" t="str">
        <f t="shared" si="6"/>
        <v>Резервы (провизии) по дебиторской задолженности, связанной с банковской деятельностью</v>
      </c>
      <c r="D175" s="8">
        <v>1</v>
      </c>
      <c r="E175" s="8">
        <v>4</v>
      </c>
      <c r="F175" s="8">
        <v>3</v>
      </c>
      <c r="G175" s="6">
        <v>-466128720.94</v>
      </c>
    </row>
    <row r="176" spans="1:7" ht="15">
      <c r="A176" s="4">
        <v>45289</v>
      </c>
      <c r="B176" s="8">
        <v>1877</v>
      </c>
      <c r="C176" s="5" t="str">
        <f t="shared" si="6"/>
        <v>Резервы (провизии) по дебиторской задолженности, связанной с банковской деятельностью</v>
      </c>
      <c r="D176" s="8">
        <v>1</v>
      </c>
      <c r="E176" s="8">
        <v>5</v>
      </c>
      <c r="F176" s="8">
        <v>1</v>
      </c>
      <c r="G176" s="6">
        <v>-48653</v>
      </c>
    </row>
    <row r="177" spans="1:7" ht="15">
      <c r="A177" s="4">
        <v>45289</v>
      </c>
      <c r="B177" s="8">
        <v>1877</v>
      </c>
      <c r="C177" s="5" t="str">
        <f t="shared" si="6"/>
        <v>Резервы (провизии) по дебиторской задолженности, связанной с банковской деятельностью</v>
      </c>
      <c r="D177" s="8">
        <v>1</v>
      </c>
      <c r="E177" s="8">
        <v>7</v>
      </c>
      <c r="F177" s="8">
        <v>1</v>
      </c>
      <c r="G177" s="6">
        <v>-398711953.64</v>
      </c>
    </row>
    <row r="178" spans="1:7" ht="15">
      <c r="A178" s="4">
        <v>45289</v>
      </c>
      <c r="B178" s="8">
        <v>1877</v>
      </c>
      <c r="C178" s="5" t="str">
        <f t="shared" si="6"/>
        <v>Резервы (провизии) по дебиторской задолженности, связанной с банковской деятельностью</v>
      </c>
      <c r="D178" s="8">
        <v>1</v>
      </c>
      <c r="E178" s="8">
        <v>7</v>
      </c>
      <c r="F178" s="8">
        <v>2</v>
      </c>
      <c r="G178" s="6">
        <v>-212080958.36</v>
      </c>
    </row>
    <row r="179" spans="1:7" ht="15">
      <c r="A179" s="4">
        <v>45289</v>
      </c>
      <c r="B179" s="8">
        <v>1877</v>
      </c>
      <c r="C179" s="5" t="str">
        <f t="shared" si="6"/>
        <v>Резервы (провизии) по дебиторской задолженности, связанной с банковской деятельностью</v>
      </c>
      <c r="D179" s="8">
        <v>1</v>
      </c>
      <c r="E179" s="8">
        <v>9</v>
      </c>
      <c r="F179" s="8">
        <v>1</v>
      </c>
      <c r="G179" s="6">
        <v>-309759937.35</v>
      </c>
    </row>
    <row r="180" spans="1:7" ht="15">
      <c r="A180" s="4">
        <v>45289</v>
      </c>
      <c r="B180" s="8">
        <v>1877</v>
      </c>
      <c r="C180" s="5" t="str">
        <f t="shared" si="6"/>
        <v>Резервы (провизии) по дебиторской задолженности, связанной с банковской деятельностью</v>
      </c>
      <c r="D180" s="8">
        <v>1</v>
      </c>
      <c r="E180" s="8">
        <v>9</v>
      </c>
      <c r="F180" s="8">
        <v>2</v>
      </c>
      <c r="G180" s="6">
        <v>-767999676.39</v>
      </c>
    </row>
    <row r="181" spans="1:7" ht="15">
      <c r="A181" s="4">
        <v>45289</v>
      </c>
      <c r="B181" s="8">
        <v>1877</v>
      </c>
      <c r="C181" s="5" t="str">
        <f t="shared" si="6"/>
        <v>Резервы (провизии) по дебиторской задолженности, связанной с банковской деятельностью</v>
      </c>
      <c r="D181" s="8">
        <v>1</v>
      </c>
      <c r="E181" s="8">
        <v>9</v>
      </c>
      <c r="F181" s="8">
        <v>3</v>
      </c>
      <c r="G181" s="6">
        <v>-3259801.07</v>
      </c>
    </row>
    <row r="182" spans="1:7" ht="15">
      <c r="A182" s="4">
        <v>45289</v>
      </c>
      <c r="B182" s="8">
        <v>1877</v>
      </c>
      <c r="C182" s="5" t="str">
        <f t="shared" si="6"/>
        <v>Резервы (провизии) по дебиторской задолженности, связанной с банковской деятельностью</v>
      </c>
      <c r="D182" s="8">
        <v>2</v>
      </c>
      <c r="E182" s="8">
        <v>5</v>
      </c>
      <c r="F182" s="8">
        <v>1</v>
      </c>
      <c r="G182" s="6">
        <v>-295948</v>
      </c>
    </row>
    <row r="183" spans="1:7" ht="15">
      <c r="A183" s="4">
        <v>45289</v>
      </c>
      <c r="B183" s="8">
        <v>1877</v>
      </c>
      <c r="C183" s="5" t="str">
        <f t="shared" si="6"/>
        <v>Резервы (провизии) по дебиторской задолженности, связанной с банковской деятельностью</v>
      </c>
      <c r="D183" s="8">
        <v>2</v>
      </c>
      <c r="E183" s="8">
        <v>7</v>
      </c>
      <c r="F183" s="8">
        <v>1</v>
      </c>
      <c r="G183" s="6">
        <v>-8594771.75</v>
      </c>
    </row>
    <row r="184" spans="1:7" ht="15">
      <c r="A184" s="4">
        <v>45289</v>
      </c>
      <c r="B184" s="8">
        <v>1878</v>
      </c>
      <c r="C184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4" s="8">
        <v>1</v>
      </c>
      <c r="E184" s="8">
        <v>1</v>
      </c>
      <c r="F184" s="8">
        <v>1</v>
      </c>
      <c r="G184" s="6">
        <v>-1634731.5</v>
      </c>
    </row>
    <row r="185" spans="1:7" ht="15">
      <c r="A185" s="4">
        <v>45289</v>
      </c>
      <c r="B185" s="8">
        <v>1878</v>
      </c>
      <c r="C185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5" s="8">
        <v>1</v>
      </c>
      <c r="E185" s="8">
        <v>6</v>
      </c>
      <c r="F185" s="8">
        <v>1</v>
      </c>
      <c r="G185" s="6">
        <v>-930826.61</v>
      </c>
    </row>
    <row r="186" spans="1:7" ht="15">
      <c r="A186" s="4">
        <v>45289</v>
      </c>
      <c r="B186" s="8">
        <v>1878</v>
      </c>
      <c r="C186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6" s="8">
        <v>1</v>
      </c>
      <c r="E186" s="8">
        <v>7</v>
      </c>
      <c r="F186" s="8">
        <v>1</v>
      </c>
      <c r="G186" s="6">
        <v>-315110021.24</v>
      </c>
    </row>
    <row r="187" spans="1:7" ht="15">
      <c r="A187" s="4">
        <v>45289</v>
      </c>
      <c r="B187" s="8">
        <v>1878</v>
      </c>
      <c r="C187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7" s="8">
        <v>1</v>
      </c>
      <c r="E187" s="8">
        <v>9</v>
      </c>
      <c r="F187" s="8">
        <v>1</v>
      </c>
      <c r="G187" s="6">
        <v>-5955374.98</v>
      </c>
    </row>
    <row r="188" spans="1:7" ht="15">
      <c r="A188" s="4">
        <v>45289</v>
      </c>
      <c r="B188" s="8">
        <v>1878</v>
      </c>
      <c r="C188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8" s="8">
        <v>2</v>
      </c>
      <c r="E188" s="8">
        <v>7</v>
      </c>
      <c r="F188" s="8">
        <v>1</v>
      </c>
      <c r="G188" s="6">
        <v>-70441288.74</v>
      </c>
    </row>
    <row r="189" spans="1:7" ht="15">
      <c r="A189" s="4">
        <v>45289</v>
      </c>
      <c r="B189" s="8">
        <v>1879</v>
      </c>
      <c r="C189" s="5" t="str">
        <f>"Начисленная неустойка (штраф, пеня)"</f>
        <v>Начисленная неустойка (штраф, пеня)</v>
      </c>
      <c r="D189" s="8">
        <v>1</v>
      </c>
      <c r="E189" s="8">
        <v>7</v>
      </c>
      <c r="F189" s="8">
        <v>1</v>
      </c>
      <c r="G189" s="6">
        <v>6631709.98</v>
      </c>
    </row>
    <row r="190" spans="1:7" ht="15">
      <c r="A190" s="4">
        <v>45289</v>
      </c>
      <c r="B190" s="8">
        <v>1879</v>
      </c>
      <c r="C190" s="5" t="str">
        <f>"Начисленная неустойка (штраф, пеня)"</f>
        <v>Начисленная неустойка (штраф, пеня)</v>
      </c>
      <c r="D190" s="8">
        <v>1</v>
      </c>
      <c r="E190" s="8">
        <v>9</v>
      </c>
      <c r="F190" s="8">
        <v>1</v>
      </c>
      <c r="G190" s="6">
        <v>129356762.71</v>
      </c>
    </row>
    <row r="191" spans="1:7" ht="15">
      <c r="A191" s="4">
        <v>45289</v>
      </c>
      <c r="B191" s="8">
        <v>1879</v>
      </c>
      <c r="C191" s="5" t="str">
        <f>"Начисленная неустойка (штраф, пеня)"</f>
        <v>Начисленная неустойка (штраф, пеня)</v>
      </c>
      <c r="D191" s="8">
        <v>2</v>
      </c>
      <c r="E191" s="8">
        <v>9</v>
      </c>
      <c r="F191" s="8">
        <v>1</v>
      </c>
      <c r="G191" s="6">
        <v>69008.4</v>
      </c>
    </row>
    <row r="192" spans="1:7" ht="15">
      <c r="A192" s="4">
        <v>45289</v>
      </c>
      <c r="B192" s="8">
        <v>1894</v>
      </c>
      <c r="C192" s="5" t="str">
        <f>"Требования по операциям спот"</f>
        <v>Требования по операциям спот</v>
      </c>
      <c r="D192" s="8">
        <v>1</v>
      </c>
      <c r="E192" s="8">
        <v>5</v>
      </c>
      <c r="F192" s="8">
        <v>2</v>
      </c>
      <c r="G192" s="6">
        <v>6045648000</v>
      </c>
    </row>
    <row r="193" spans="1:7" ht="15">
      <c r="A193" s="4">
        <v>45289</v>
      </c>
      <c r="B193" s="8">
        <v>1894</v>
      </c>
      <c r="C193" s="5" t="str">
        <f>"Требования по операциям спот"</f>
        <v>Требования по операциям спот</v>
      </c>
      <c r="D193" s="8">
        <v>1</v>
      </c>
      <c r="E193" s="8">
        <v>5</v>
      </c>
      <c r="F193" s="8">
        <v>3</v>
      </c>
      <c r="G193" s="6">
        <v>526240000</v>
      </c>
    </row>
    <row r="194" spans="1:7" ht="15">
      <c r="A194" s="4">
        <v>45289</v>
      </c>
      <c r="B194" s="8">
        <v>1895</v>
      </c>
      <c r="C194" s="5" t="str">
        <f>"Требования по операциям своп"</f>
        <v>Требования по операциям своп</v>
      </c>
      <c r="D194" s="8">
        <v>1</v>
      </c>
      <c r="E194" s="8">
        <v>5</v>
      </c>
      <c r="F194" s="8">
        <v>1</v>
      </c>
      <c r="G194" s="6">
        <v>38049000</v>
      </c>
    </row>
    <row r="195" spans="1:7" ht="15">
      <c r="A195" s="4">
        <v>45289</v>
      </c>
      <c r="B195" s="8">
        <v>2013</v>
      </c>
      <c r="C195" s="5" t="str">
        <f>"Корреспондентские счета других банков"</f>
        <v>Корреспондентские счета других банков</v>
      </c>
      <c r="D195" s="8">
        <v>2</v>
      </c>
      <c r="E195" s="8">
        <v>4</v>
      </c>
      <c r="F195" s="8">
        <v>1</v>
      </c>
      <c r="G195" s="6">
        <v>1946838885.42</v>
      </c>
    </row>
    <row r="196" spans="1:7" ht="15">
      <c r="A196" s="4">
        <v>45289</v>
      </c>
      <c r="B196" s="8">
        <v>2056</v>
      </c>
      <c r="C196" s="5" t="str">
        <f>"Долгосрочные займы, полученные от других банков"</f>
        <v>Долгосрочные займы, полученные от других банков</v>
      </c>
      <c r="D196" s="8">
        <v>1</v>
      </c>
      <c r="E196" s="8">
        <v>4</v>
      </c>
      <c r="F196" s="8">
        <v>1</v>
      </c>
      <c r="G196" s="6">
        <v>100000000000</v>
      </c>
    </row>
    <row r="197" spans="1:7" ht="15">
      <c r="A197" s="4">
        <v>45289</v>
      </c>
      <c r="B197" s="8">
        <v>2066</v>
      </c>
      <c r="C197" s="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D197" s="8">
        <v>1</v>
      </c>
      <c r="E197" s="8">
        <v>5</v>
      </c>
      <c r="F197" s="8">
        <v>1</v>
      </c>
      <c r="G197" s="6">
        <v>14000000000</v>
      </c>
    </row>
    <row r="198" spans="1:7" ht="15">
      <c r="A198" s="4">
        <v>45289</v>
      </c>
      <c r="B198" s="8">
        <v>2070</v>
      </c>
      <c r="C198" s="5" t="str">
        <f>"Дисконт по полученным займам"</f>
        <v>Дисконт по полученным займам</v>
      </c>
      <c r="D198" s="8">
        <v>1</v>
      </c>
      <c r="E198" s="8">
        <v>4</v>
      </c>
      <c r="F198" s="8">
        <v>1</v>
      </c>
      <c r="G198" s="6">
        <v>-1746695287</v>
      </c>
    </row>
    <row r="199" spans="1:7" ht="15">
      <c r="A199" s="4">
        <v>45289</v>
      </c>
      <c r="B199" s="8">
        <v>2202</v>
      </c>
      <c r="C199" s="5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199" s="8">
        <v>1</v>
      </c>
      <c r="E199" s="8">
        <v>5</v>
      </c>
      <c r="F199" s="8">
        <v>1</v>
      </c>
      <c r="G199" s="6">
        <v>200</v>
      </c>
    </row>
    <row r="200" spans="1:7" ht="15">
      <c r="A200" s="4">
        <v>45289</v>
      </c>
      <c r="B200" s="8">
        <v>2202</v>
      </c>
      <c r="C200" s="5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200" s="8">
        <v>1</v>
      </c>
      <c r="E200" s="8">
        <v>5</v>
      </c>
      <c r="F200" s="8">
        <v>2</v>
      </c>
      <c r="G200" s="6">
        <v>23910790.13</v>
      </c>
    </row>
    <row r="201" spans="1:7" ht="15">
      <c r="A201" s="4">
        <v>45289</v>
      </c>
      <c r="B201" s="8">
        <v>2203</v>
      </c>
      <c r="C201" s="5" t="str">
        <f aca="true" t="shared" si="7" ref="C201:C218">"Текущие счета юридических лиц"</f>
        <v>Текущие счета юридических лиц</v>
      </c>
      <c r="D201" s="8">
        <v>1</v>
      </c>
      <c r="E201" s="8">
        <v>2</v>
      </c>
      <c r="F201" s="8">
        <v>1</v>
      </c>
      <c r="G201" s="6">
        <v>12975440.79</v>
      </c>
    </row>
    <row r="202" spans="1:7" ht="15">
      <c r="A202" s="4">
        <v>45289</v>
      </c>
      <c r="B202" s="8">
        <v>2203</v>
      </c>
      <c r="C202" s="5" t="str">
        <f t="shared" si="7"/>
        <v>Текущие счета юридических лиц</v>
      </c>
      <c r="D202" s="8">
        <v>1</v>
      </c>
      <c r="E202" s="8">
        <v>5</v>
      </c>
      <c r="F202" s="8">
        <v>1</v>
      </c>
      <c r="G202" s="6">
        <v>831876379.74</v>
      </c>
    </row>
    <row r="203" spans="1:7" ht="15">
      <c r="A203" s="4">
        <v>45289</v>
      </c>
      <c r="B203" s="8">
        <v>2203</v>
      </c>
      <c r="C203" s="5" t="str">
        <f t="shared" si="7"/>
        <v>Текущие счета юридических лиц</v>
      </c>
      <c r="D203" s="8">
        <v>1</v>
      </c>
      <c r="E203" s="8">
        <v>5</v>
      </c>
      <c r="F203" s="8">
        <v>2</v>
      </c>
      <c r="G203" s="6">
        <v>4400590941.97</v>
      </c>
    </row>
    <row r="204" spans="1:7" ht="15">
      <c r="A204" s="4">
        <v>45289</v>
      </c>
      <c r="B204" s="8">
        <v>2203</v>
      </c>
      <c r="C204" s="5" t="str">
        <f t="shared" si="7"/>
        <v>Текущие счета юридических лиц</v>
      </c>
      <c r="D204" s="8">
        <v>1</v>
      </c>
      <c r="E204" s="8">
        <v>5</v>
      </c>
      <c r="F204" s="8">
        <v>3</v>
      </c>
      <c r="G204" s="6">
        <v>110577753.36</v>
      </c>
    </row>
    <row r="205" spans="1:7" ht="15">
      <c r="A205" s="4">
        <v>45289</v>
      </c>
      <c r="B205" s="8">
        <v>2203</v>
      </c>
      <c r="C205" s="5" t="str">
        <f t="shared" si="7"/>
        <v>Текущие счета юридических лиц</v>
      </c>
      <c r="D205" s="8">
        <v>1</v>
      </c>
      <c r="E205" s="8">
        <v>6</v>
      </c>
      <c r="F205" s="8">
        <v>1</v>
      </c>
      <c r="G205" s="6">
        <v>743047516.14</v>
      </c>
    </row>
    <row r="206" spans="1:7" ht="15">
      <c r="A206" s="4">
        <v>45289</v>
      </c>
      <c r="B206" s="8">
        <v>2203</v>
      </c>
      <c r="C206" s="5" t="str">
        <f t="shared" si="7"/>
        <v>Текущие счета юридических лиц</v>
      </c>
      <c r="D206" s="8">
        <v>1</v>
      </c>
      <c r="E206" s="8">
        <v>6</v>
      </c>
      <c r="F206" s="8">
        <v>3</v>
      </c>
      <c r="G206" s="6">
        <v>14325.57</v>
      </c>
    </row>
    <row r="207" spans="1:7" ht="15">
      <c r="A207" s="4">
        <v>45289</v>
      </c>
      <c r="B207" s="8">
        <v>2203</v>
      </c>
      <c r="C207" s="5" t="str">
        <f t="shared" si="7"/>
        <v>Текущие счета юридических лиц</v>
      </c>
      <c r="D207" s="8">
        <v>1</v>
      </c>
      <c r="E207" s="8">
        <v>7</v>
      </c>
      <c r="F207" s="8">
        <v>1</v>
      </c>
      <c r="G207" s="6">
        <v>47230452872.82</v>
      </c>
    </row>
    <row r="208" spans="1:7" ht="15">
      <c r="A208" s="4">
        <v>45289</v>
      </c>
      <c r="B208" s="8">
        <v>2203</v>
      </c>
      <c r="C208" s="5" t="str">
        <f t="shared" si="7"/>
        <v>Текущие счета юридических лиц</v>
      </c>
      <c r="D208" s="8">
        <v>1</v>
      </c>
      <c r="E208" s="8">
        <v>7</v>
      </c>
      <c r="F208" s="8">
        <v>2</v>
      </c>
      <c r="G208" s="6">
        <v>5979761964.46</v>
      </c>
    </row>
    <row r="209" spans="1:7" ht="15">
      <c r="A209" s="4">
        <v>45289</v>
      </c>
      <c r="B209" s="8">
        <v>2203</v>
      </c>
      <c r="C209" s="5" t="str">
        <f t="shared" si="7"/>
        <v>Текущие счета юридических лиц</v>
      </c>
      <c r="D209" s="8">
        <v>1</v>
      </c>
      <c r="E209" s="8">
        <v>7</v>
      </c>
      <c r="F209" s="8">
        <v>3</v>
      </c>
      <c r="G209" s="6">
        <v>3568674043.3</v>
      </c>
    </row>
    <row r="210" spans="1:7" ht="15">
      <c r="A210" s="4">
        <v>45289</v>
      </c>
      <c r="B210" s="8">
        <v>2203</v>
      </c>
      <c r="C210" s="5" t="str">
        <f t="shared" si="7"/>
        <v>Текущие счета юридических лиц</v>
      </c>
      <c r="D210" s="8">
        <v>1</v>
      </c>
      <c r="E210" s="8">
        <v>8</v>
      </c>
      <c r="F210" s="8">
        <v>1</v>
      </c>
      <c r="G210" s="6">
        <v>792762560.89</v>
      </c>
    </row>
    <row r="211" spans="1:7" ht="15">
      <c r="A211" s="4">
        <v>45289</v>
      </c>
      <c r="B211" s="8">
        <v>2203</v>
      </c>
      <c r="C211" s="5" t="str">
        <f t="shared" si="7"/>
        <v>Текущие счета юридических лиц</v>
      </c>
      <c r="D211" s="8">
        <v>1</v>
      </c>
      <c r="E211" s="8">
        <v>8</v>
      </c>
      <c r="F211" s="8">
        <v>2</v>
      </c>
      <c r="G211" s="6">
        <v>35935637.71</v>
      </c>
    </row>
    <row r="212" spans="1:7" ht="15">
      <c r="A212" s="4">
        <v>45289</v>
      </c>
      <c r="B212" s="8">
        <v>2203</v>
      </c>
      <c r="C212" s="5" t="str">
        <f t="shared" si="7"/>
        <v>Текущие счета юридических лиц</v>
      </c>
      <c r="D212" s="8">
        <v>1</v>
      </c>
      <c r="E212" s="8">
        <v>8</v>
      </c>
      <c r="F212" s="8">
        <v>3</v>
      </c>
      <c r="G212" s="6">
        <v>34699716.24</v>
      </c>
    </row>
    <row r="213" spans="1:7" ht="15">
      <c r="A213" s="4">
        <v>45289</v>
      </c>
      <c r="B213" s="8">
        <v>2203</v>
      </c>
      <c r="C213" s="5" t="str">
        <f t="shared" si="7"/>
        <v>Текущие счета юридических лиц</v>
      </c>
      <c r="D213" s="8">
        <v>2</v>
      </c>
      <c r="E213" s="8">
        <v>5</v>
      </c>
      <c r="F213" s="8">
        <v>2</v>
      </c>
      <c r="G213" s="6">
        <v>15669.89</v>
      </c>
    </row>
    <row r="214" spans="1:7" ht="15">
      <c r="A214" s="4">
        <v>45289</v>
      </c>
      <c r="B214" s="8">
        <v>2203</v>
      </c>
      <c r="C214" s="5" t="str">
        <f t="shared" si="7"/>
        <v>Текущие счета юридических лиц</v>
      </c>
      <c r="D214" s="8">
        <v>2</v>
      </c>
      <c r="E214" s="8">
        <v>5</v>
      </c>
      <c r="F214" s="8">
        <v>3</v>
      </c>
      <c r="G214" s="6">
        <v>1349948.09</v>
      </c>
    </row>
    <row r="215" spans="1:7" ht="15">
      <c r="A215" s="4">
        <v>45289</v>
      </c>
      <c r="B215" s="8">
        <v>2203</v>
      </c>
      <c r="C215" s="5" t="str">
        <f t="shared" si="7"/>
        <v>Текущие счета юридических лиц</v>
      </c>
      <c r="D215" s="8">
        <v>2</v>
      </c>
      <c r="E215" s="8">
        <v>7</v>
      </c>
      <c r="F215" s="8">
        <v>1</v>
      </c>
      <c r="G215" s="6">
        <v>15813252973.93</v>
      </c>
    </row>
    <row r="216" spans="1:7" ht="15">
      <c r="A216" s="4">
        <v>45289</v>
      </c>
      <c r="B216" s="8">
        <v>2203</v>
      </c>
      <c r="C216" s="5" t="str">
        <f t="shared" si="7"/>
        <v>Текущие счета юридических лиц</v>
      </c>
      <c r="D216" s="8">
        <v>2</v>
      </c>
      <c r="E216" s="8">
        <v>7</v>
      </c>
      <c r="F216" s="8">
        <v>2</v>
      </c>
      <c r="G216" s="6">
        <v>8753998747.15</v>
      </c>
    </row>
    <row r="217" spans="1:7" ht="15">
      <c r="A217" s="4">
        <v>45289</v>
      </c>
      <c r="B217" s="8">
        <v>2203</v>
      </c>
      <c r="C217" s="5" t="str">
        <f t="shared" si="7"/>
        <v>Текущие счета юридических лиц</v>
      </c>
      <c r="D217" s="8">
        <v>2</v>
      </c>
      <c r="E217" s="8">
        <v>7</v>
      </c>
      <c r="F217" s="8">
        <v>3</v>
      </c>
      <c r="G217" s="6">
        <v>682147835.83</v>
      </c>
    </row>
    <row r="218" spans="1:7" ht="15">
      <c r="A218" s="4">
        <v>45289</v>
      </c>
      <c r="B218" s="8">
        <v>2203</v>
      </c>
      <c r="C218" s="5" t="str">
        <f t="shared" si="7"/>
        <v>Текущие счета юридических лиц</v>
      </c>
      <c r="D218" s="8">
        <v>2</v>
      </c>
      <c r="E218" s="8">
        <v>8</v>
      </c>
      <c r="F218" s="8">
        <v>1</v>
      </c>
      <c r="G218" s="6">
        <v>3835146.21</v>
      </c>
    </row>
    <row r="219" spans="1:7" ht="15">
      <c r="A219" s="4">
        <v>45289</v>
      </c>
      <c r="B219" s="8">
        <v>2204</v>
      </c>
      <c r="C219" s="5" t="str">
        <f aca="true" t="shared" si="8" ref="C219:C224">"Текущие счета физических лиц"</f>
        <v>Текущие счета физических лиц</v>
      </c>
      <c r="D219" s="8">
        <v>1</v>
      </c>
      <c r="E219" s="8">
        <v>9</v>
      </c>
      <c r="F219" s="8">
        <v>1</v>
      </c>
      <c r="G219" s="6">
        <v>22706611703.95</v>
      </c>
    </row>
    <row r="220" spans="1:7" ht="15">
      <c r="A220" s="4">
        <v>45289</v>
      </c>
      <c r="B220" s="8">
        <v>2204</v>
      </c>
      <c r="C220" s="5" t="str">
        <f t="shared" si="8"/>
        <v>Текущие счета физических лиц</v>
      </c>
      <c r="D220" s="8">
        <v>1</v>
      </c>
      <c r="E220" s="8">
        <v>9</v>
      </c>
      <c r="F220" s="8">
        <v>2</v>
      </c>
      <c r="G220" s="6">
        <v>3238321763.98</v>
      </c>
    </row>
    <row r="221" spans="1:7" ht="15">
      <c r="A221" s="4">
        <v>45289</v>
      </c>
      <c r="B221" s="8">
        <v>2204</v>
      </c>
      <c r="C221" s="5" t="str">
        <f t="shared" si="8"/>
        <v>Текущие счета физических лиц</v>
      </c>
      <c r="D221" s="8">
        <v>1</v>
      </c>
      <c r="E221" s="8">
        <v>9</v>
      </c>
      <c r="F221" s="8">
        <v>3</v>
      </c>
      <c r="G221" s="6">
        <v>2523388575.16</v>
      </c>
    </row>
    <row r="222" spans="1:7" ht="15">
      <c r="A222" s="4">
        <v>45289</v>
      </c>
      <c r="B222" s="8">
        <v>2204</v>
      </c>
      <c r="C222" s="5" t="str">
        <f t="shared" si="8"/>
        <v>Текущие счета физических лиц</v>
      </c>
      <c r="D222" s="8">
        <v>2</v>
      </c>
      <c r="E222" s="8">
        <v>9</v>
      </c>
      <c r="F222" s="8">
        <v>1</v>
      </c>
      <c r="G222" s="6">
        <v>874435627.44</v>
      </c>
    </row>
    <row r="223" spans="1:7" ht="15">
      <c r="A223" s="4">
        <v>45289</v>
      </c>
      <c r="B223" s="8">
        <v>2204</v>
      </c>
      <c r="C223" s="5" t="str">
        <f t="shared" si="8"/>
        <v>Текущие счета физических лиц</v>
      </c>
      <c r="D223" s="8">
        <v>2</v>
      </c>
      <c r="E223" s="8">
        <v>9</v>
      </c>
      <c r="F223" s="8">
        <v>2</v>
      </c>
      <c r="G223" s="6">
        <v>1467454843.22</v>
      </c>
    </row>
    <row r="224" spans="1:7" ht="15">
      <c r="A224" s="4">
        <v>45289</v>
      </c>
      <c r="B224" s="8">
        <v>2204</v>
      </c>
      <c r="C224" s="5" t="str">
        <f t="shared" si="8"/>
        <v>Текущие счета физических лиц</v>
      </c>
      <c r="D224" s="8">
        <v>2</v>
      </c>
      <c r="E224" s="8">
        <v>9</v>
      </c>
      <c r="F224" s="8">
        <v>3</v>
      </c>
      <c r="G224" s="6">
        <v>360137072.52</v>
      </c>
    </row>
    <row r="225" spans="1:7" ht="15">
      <c r="A225" s="4">
        <v>45289</v>
      </c>
      <c r="B225" s="8">
        <v>2205</v>
      </c>
      <c r="C225" s="5" t="str">
        <f aca="true" t="shared" si="9" ref="C225:C230">"Вклады до востребования физических лиц"</f>
        <v>Вклады до востребования физических лиц</v>
      </c>
      <c r="D225" s="8">
        <v>1</v>
      </c>
      <c r="E225" s="8">
        <v>9</v>
      </c>
      <c r="F225" s="8">
        <v>1</v>
      </c>
      <c r="G225" s="6">
        <v>80614430.92</v>
      </c>
    </row>
    <row r="226" spans="1:7" ht="15">
      <c r="A226" s="4">
        <v>45289</v>
      </c>
      <c r="B226" s="8">
        <v>2205</v>
      </c>
      <c r="C226" s="5" t="str">
        <f t="shared" si="9"/>
        <v>Вклады до востребования физических лиц</v>
      </c>
      <c r="D226" s="8">
        <v>1</v>
      </c>
      <c r="E226" s="8">
        <v>9</v>
      </c>
      <c r="F226" s="8">
        <v>2</v>
      </c>
      <c r="G226" s="6">
        <v>189804902.33</v>
      </c>
    </row>
    <row r="227" spans="1:7" ht="15">
      <c r="A227" s="4">
        <v>45289</v>
      </c>
      <c r="B227" s="8">
        <v>2205</v>
      </c>
      <c r="C227" s="5" t="str">
        <f t="shared" si="9"/>
        <v>Вклады до востребования физических лиц</v>
      </c>
      <c r="D227" s="8">
        <v>1</v>
      </c>
      <c r="E227" s="8">
        <v>9</v>
      </c>
      <c r="F227" s="8">
        <v>3</v>
      </c>
      <c r="G227" s="6">
        <v>45370452.2</v>
      </c>
    </row>
    <row r="228" spans="1:7" ht="15">
      <c r="A228" s="4">
        <v>45289</v>
      </c>
      <c r="B228" s="8">
        <v>2205</v>
      </c>
      <c r="C228" s="5" t="str">
        <f t="shared" si="9"/>
        <v>Вклады до востребования физических лиц</v>
      </c>
      <c r="D228" s="8">
        <v>2</v>
      </c>
      <c r="E228" s="8">
        <v>9</v>
      </c>
      <c r="F228" s="8">
        <v>1</v>
      </c>
      <c r="G228" s="6">
        <v>9480594.06</v>
      </c>
    </row>
    <row r="229" spans="1:7" ht="15">
      <c r="A229" s="4">
        <v>45289</v>
      </c>
      <c r="B229" s="8">
        <v>2205</v>
      </c>
      <c r="C229" s="5" t="str">
        <f t="shared" si="9"/>
        <v>Вклады до востребования физических лиц</v>
      </c>
      <c r="D229" s="8">
        <v>2</v>
      </c>
      <c r="E229" s="8">
        <v>9</v>
      </c>
      <c r="F229" s="8">
        <v>2</v>
      </c>
      <c r="G229" s="6">
        <v>100086053.06</v>
      </c>
    </row>
    <row r="230" spans="1:7" ht="15">
      <c r="A230" s="4">
        <v>45289</v>
      </c>
      <c r="B230" s="8">
        <v>2205</v>
      </c>
      <c r="C230" s="5" t="str">
        <f t="shared" si="9"/>
        <v>Вклады до востребования физических лиц</v>
      </c>
      <c r="D230" s="8">
        <v>2</v>
      </c>
      <c r="E230" s="8">
        <v>9</v>
      </c>
      <c r="F230" s="8">
        <v>3</v>
      </c>
      <c r="G230" s="6">
        <v>472818.21</v>
      </c>
    </row>
    <row r="231" spans="1:7" ht="15">
      <c r="A231" s="4">
        <v>45289</v>
      </c>
      <c r="B231" s="8">
        <v>2206</v>
      </c>
      <c r="C231" s="5" t="str">
        <f aca="true" t="shared" si="10" ref="C231:C236">"Краткосрочные вклады физических лиц"</f>
        <v>Краткосрочные вклады физических лиц</v>
      </c>
      <c r="D231" s="8">
        <v>1</v>
      </c>
      <c r="E231" s="8">
        <v>9</v>
      </c>
      <c r="F231" s="8">
        <v>1</v>
      </c>
      <c r="G231" s="6">
        <v>135749427243.59</v>
      </c>
    </row>
    <row r="232" spans="1:7" ht="15">
      <c r="A232" s="4">
        <v>45289</v>
      </c>
      <c r="B232" s="8">
        <v>2206</v>
      </c>
      <c r="C232" s="5" t="str">
        <f t="shared" si="10"/>
        <v>Краткосрочные вклады физических лиц</v>
      </c>
      <c r="D232" s="8">
        <v>1</v>
      </c>
      <c r="E232" s="8">
        <v>9</v>
      </c>
      <c r="F232" s="8">
        <v>2</v>
      </c>
      <c r="G232" s="6">
        <v>11635497643.97</v>
      </c>
    </row>
    <row r="233" spans="1:7" ht="15">
      <c r="A233" s="4">
        <v>45289</v>
      </c>
      <c r="B233" s="8">
        <v>2206</v>
      </c>
      <c r="C233" s="5" t="str">
        <f t="shared" si="10"/>
        <v>Краткосрочные вклады физических лиц</v>
      </c>
      <c r="D233" s="8">
        <v>1</v>
      </c>
      <c r="E233" s="8">
        <v>9</v>
      </c>
      <c r="F233" s="8">
        <v>3</v>
      </c>
      <c r="G233" s="6">
        <v>1250911375.93</v>
      </c>
    </row>
    <row r="234" spans="1:7" ht="15">
      <c r="A234" s="4">
        <v>45289</v>
      </c>
      <c r="B234" s="8">
        <v>2206</v>
      </c>
      <c r="C234" s="5" t="str">
        <f t="shared" si="10"/>
        <v>Краткосрочные вклады физических лиц</v>
      </c>
      <c r="D234" s="8">
        <v>2</v>
      </c>
      <c r="E234" s="8">
        <v>9</v>
      </c>
      <c r="F234" s="8">
        <v>1</v>
      </c>
      <c r="G234" s="6">
        <v>3442729454.62</v>
      </c>
    </row>
    <row r="235" spans="1:7" ht="15">
      <c r="A235" s="4">
        <v>45289</v>
      </c>
      <c r="B235" s="8">
        <v>2206</v>
      </c>
      <c r="C235" s="5" t="str">
        <f t="shared" si="10"/>
        <v>Краткосрочные вклады физических лиц</v>
      </c>
      <c r="D235" s="8">
        <v>2</v>
      </c>
      <c r="E235" s="8">
        <v>9</v>
      </c>
      <c r="F235" s="8">
        <v>2</v>
      </c>
      <c r="G235" s="6">
        <v>2191591787.73</v>
      </c>
    </row>
    <row r="236" spans="1:7" ht="15">
      <c r="A236" s="4">
        <v>45289</v>
      </c>
      <c r="B236" s="8">
        <v>2206</v>
      </c>
      <c r="C236" s="5" t="str">
        <f t="shared" si="10"/>
        <v>Краткосрочные вклады физических лиц</v>
      </c>
      <c r="D236" s="8">
        <v>2</v>
      </c>
      <c r="E236" s="8">
        <v>9</v>
      </c>
      <c r="F236" s="8">
        <v>3</v>
      </c>
      <c r="G236" s="6">
        <v>46423621.91</v>
      </c>
    </row>
    <row r="237" spans="1:7" ht="15">
      <c r="A237" s="4">
        <v>45289</v>
      </c>
      <c r="B237" s="8">
        <v>2207</v>
      </c>
      <c r="C237" s="5" t="str">
        <f aca="true" t="shared" si="11" ref="C237:C242">"Долгосрочные вклады физических лиц"</f>
        <v>Долгосрочные вклады физических лиц</v>
      </c>
      <c r="D237" s="8">
        <v>1</v>
      </c>
      <c r="E237" s="8">
        <v>9</v>
      </c>
      <c r="F237" s="8">
        <v>1</v>
      </c>
      <c r="G237" s="6">
        <v>53292686886.51</v>
      </c>
    </row>
    <row r="238" spans="1:7" ht="15">
      <c r="A238" s="4">
        <v>45289</v>
      </c>
      <c r="B238" s="8">
        <v>2207</v>
      </c>
      <c r="C238" s="5" t="str">
        <f t="shared" si="11"/>
        <v>Долгосрочные вклады физических лиц</v>
      </c>
      <c r="D238" s="8">
        <v>1</v>
      </c>
      <c r="E238" s="8">
        <v>9</v>
      </c>
      <c r="F238" s="8">
        <v>2</v>
      </c>
      <c r="G238" s="6">
        <v>22088287610.26</v>
      </c>
    </row>
    <row r="239" spans="1:7" ht="15">
      <c r="A239" s="4">
        <v>45289</v>
      </c>
      <c r="B239" s="8">
        <v>2207</v>
      </c>
      <c r="C239" s="5" t="str">
        <f t="shared" si="11"/>
        <v>Долгосрочные вклады физических лиц</v>
      </c>
      <c r="D239" s="8">
        <v>1</v>
      </c>
      <c r="E239" s="8">
        <v>9</v>
      </c>
      <c r="F239" s="8">
        <v>3</v>
      </c>
      <c r="G239" s="6">
        <v>2883424512.1</v>
      </c>
    </row>
    <row r="240" spans="1:7" ht="15">
      <c r="A240" s="4">
        <v>45289</v>
      </c>
      <c r="B240" s="8">
        <v>2207</v>
      </c>
      <c r="C240" s="5" t="str">
        <f t="shared" si="11"/>
        <v>Долгосрочные вклады физических лиц</v>
      </c>
      <c r="D240" s="8">
        <v>2</v>
      </c>
      <c r="E240" s="8">
        <v>9</v>
      </c>
      <c r="F240" s="8">
        <v>1</v>
      </c>
      <c r="G240" s="6">
        <v>1517938228.17</v>
      </c>
    </row>
    <row r="241" spans="1:7" ht="15">
      <c r="A241" s="4">
        <v>45289</v>
      </c>
      <c r="B241" s="8">
        <v>2207</v>
      </c>
      <c r="C241" s="5" t="str">
        <f t="shared" si="11"/>
        <v>Долгосрочные вклады физических лиц</v>
      </c>
      <c r="D241" s="8">
        <v>2</v>
      </c>
      <c r="E241" s="8">
        <v>9</v>
      </c>
      <c r="F241" s="8">
        <v>2</v>
      </c>
      <c r="G241" s="6">
        <v>1008063907.53</v>
      </c>
    </row>
    <row r="242" spans="1:7" ht="15">
      <c r="A242" s="4">
        <v>45289</v>
      </c>
      <c r="B242" s="8">
        <v>2207</v>
      </c>
      <c r="C242" s="5" t="str">
        <f t="shared" si="11"/>
        <v>Долгосрочные вклады физических лиц</v>
      </c>
      <c r="D242" s="8">
        <v>2</v>
      </c>
      <c r="E242" s="8">
        <v>9</v>
      </c>
      <c r="F242" s="8">
        <v>3</v>
      </c>
      <c r="G242" s="6">
        <v>40423959.94</v>
      </c>
    </row>
    <row r="243" spans="1:7" ht="15">
      <c r="A243" s="4">
        <v>45289</v>
      </c>
      <c r="B243" s="8">
        <v>2208</v>
      </c>
      <c r="C243" s="5" t="str">
        <f>"Условные вклады физических лиц"</f>
        <v>Условные вклады физических лиц</v>
      </c>
      <c r="D243" s="8">
        <v>1</v>
      </c>
      <c r="E243" s="8">
        <v>9</v>
      </c>
      <c r="F243" s="8">
        <v>1</v>
      </c>
      <c r="G243" s="6">
        <v>548101102.18</v>
      </c>
    </row>
    <row r="244" spans="1:7" ht="15">
      <c r="A244" s="4">
        <v>45289</v>
      </c>
      <c r="B244" s="8">
        <v>2208</v>
      </c>
      <c r="C244" s="5" t="str">
        <f>"Условные вклады физических лиц"</f>
        <v>Условные вклады физических лиц</v>
      </c>
      <c r="D244" s="8">
        <v>1</v>
      </c>
      <c r="E244" s="8">
        <v>9</v>
      </c>
      <c r="F244" s="8">
        <v>2</v>
      </c>
      <c r="G244" s="6">
        <v>313646.4</v>
      </c>
    </row>
    <row r="245" spans="1:7" ht="15">
      <c r="A245" s="4">
        <v>45289</v>
      </c>
      <c r="B245" s="8">
        <v>2208</v>
      </c>
      <c r="C245" s="5" t="str">
        <f>"Условные вклады физических лиц"</f>
        <v>Условные вклады физических лиц</v>
      </c>
      <c r="D245" s="8">
        <v>2</v>
      </c>
      <c r="E245" s="8">
        <v>9</v>
      </c>
      <c r="F245" s="8">
        <v>1</v>
      </c>
      <c r="G245" s="6">
        <v>104077</v>
      </c>
    </row>
    <row r="246" spans="1:7" ht="15">
      <c r="A246" s="4">
        <v>45289</v>
      </c>
      <c r="B246" s="8">
        <v>2208</v>
      </c>
      <c r="C246" s="5" t="str">
        <f>"Условные вклады физических лиц"</f>
        <v>Условные вклады физических лиц</v>
      </c>
      <c r="D246" s="8">
        <v>2</v>
      </c>
      <c r="E246" s="8">
        <v>9</v>
      </c>
      <c r="F246" s="8">
        <v>2</v>
      </c>
      <c r="G246" s="6">
        <v>2404622.4</v>
      </c>
    </row>
    <row r="247" spans="1:7" ht="15">
      <c r="A247" s="4">
        <v>45289</v>
      </c>
      <c r="B247" s="8">
        <v>2212</v>
      </c>
      <c r="C247" s="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47" s="8">
        <v>1</v>
      </c>
      <c r="E247" s="8">
        <v>9</v>
      </c>
      <c r="F247" s="8"/>
      <c r="G247" s="6">
        <v>860194603.41</v>
      </c>
    </row>
    <row r="248" spans="1:7" ht="15">
      <c r="A248" s="4">
        <v>45289</v>
      </c>
      <c r="B248" s="8">
        <v>2212</v>
      </c>
      <c r="C248" s="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48" s="8">
        <v>2</v>
      </c>
      <c r="E248" s="8">
        <v>9</v>
      </c>
      <c r="F248" s="8"/>
      <c r="G248" s="6">
        <v>34876.56</v>
      </c>
    </row>
    <row r="249" spans="1:7" ht="15">
      <c r="A249" s="4">
        <v>45289</v>
      </c>
      <c r="B249" s="8">
        <v>2213</v>
      </c>
      <c r="C249" s="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49" s="8">
        <v>1</v>
      </c>
      <c r="E249" s="8">
        <v>9</v>
      </c>
      <c r="F249" s="8">
        <v>1</v>
      </c>
      <c r="G249" s="6">
        <v>9341168706.1</v>
      </c>
    </row>
    <row r="250" spans="1:7" ht="15">
      <c r="A250" s="4">
        <v>45289</v>
      </c>
      <c r="B250" s="8">
        <v>2213</v>
      </c>
      <c r="C250" s="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50" s="8">
        <v>1</v>
      </c>
      <c r="E250" s="8">
        <v>9</v>
      </c>
      <c r="F250" s="8">
        <v>2</v>
      </c>
      <c r="G250" s="6">
        <v>1211403495.49</v>
      </c>
    </row>
    <row r="251" spans="1:7" ht="15">
      <c r="A251" s="4">
        <v>45289</v>
      </c>
      <c r="B251" s="8">
        <v>2214</v>
      </c>
      <c r="C251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51" s="8">
        <v>1</v>
      </c>
      <c r="E251" s="8">
        <v>9</v>
      </c>
      <c r="F251" s="8">
        <v>1</v>
      </c>
      <c r="G251" s="6">
        <v>140921373937.84</v>
      </c>
    </row>
    <row r="252" spans="1:7" ht="15">
      <c r="A252" s="4">
        <v>45289</v>
      </c>
      <c r="B252" s="8">
        <v>2214</v>
      </c>
      <c r="C252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52" s="8">
        <v>2</v>
      </c>
      <c r="E252" s="8">
        <v>9</v>
      </c>
      <c r="F252" s="8">
        <v>1</v>
      </c>
      <c r="G252" s="6">
        <v>3581453929.88</v>
      </c>
    </row>
    <row r="253" spans="1:7" ht="15">
      <c r="A253" s="4">
        <v>45289</v>
      </c>
      <c r="B253" s="8">
        <v>2215</v>
      </c>
      <c r="C253" s="5" t="str">
        <f aca="true" t="shared" si="12" ref="C253:C264">"Краткосрочные вклады юридических лиц"</f>
        <v>Краткосрочные вклады юридических лиц</v>
      </c>
      <c r="D253" s="8">
        <v>1</v>
      </c>
      <c r="E253" s="8">
        <v>5</v>
      </c>
      <c r="F253" s="8">
        <v>1</v>
      </c>
      <c r="G253" s="6">
        <v>13609059204.43</v>
      </c>
    </row>
    <row r="254" spans="1:7" ht="15">
      <c r="A254" s="4">
        <v>45289</v>
      </c>
      <c r="B254" s="8">
        <v>2215</v>
      </c>
      <c r="C254" s="5" t="str">
        <f t="shared" si="12"/>
        <v>Краткосрочные вклады юридических лиц</v>
      </c>
      <c r="D254" s="8">
        <v>1</v>
      </c>
      <c r="E254" s="8">
        <v>5</v>
      </c>
      <c r="F254" s="8">
        <v>2</v>
      </c>
      <c r="G254" s="6">
        <v>1644199485.43</v>
      </c>
    </row>
    <row r="255" spans="1:7" ht="15">
      <c r="A255" s="4">
        <v>45289</v>
      </c>
      <c r="B255" s="8">
        <v>2215</v>
      </c>
      <c r="C255" s="5" t="str">
        <f t="shared" si="12"/>
        <v>Краткосрочные вклады юридических лиц</v>
      </c>
      <c r="D255" s="8">
        <v>1</v>
      </c>
      <c r="E255" s="8">
        <v>5</v>
      </c>
      <c r="F255" s="8">
        <v>3</v>
      </c>
      <c r="G255" s="6">
        <v>7286676749.46</v>
      </c>
    </row>
    <row r="256" spans="1:7" ht="15">
      <c r="A256" s="4">
        <v>45289</v>
      </c>
      <c r="B256" s="8">
        <v>2215</v>
      </c>
      <c r="C256" s="5" t="str">
        <f t="shared" si="12"/>
        <v>Краткосрочные вклады юридических лиц</v>
      </c>
      <c r="D256" s="8">
        <v>1</v>
      </c>
      <c r="E256" s="8">
        <v>6</v>
      </c>
      <c r="F256" s="8">
        <v>1</v>
      </c>
      <c r="G256" s="6">
        <v>12710972641.73</v>
      </c>
    </row>
    <row r="257" spans="1:7" ht="15">
      <c r="A257" s="4">
        <v>45289</v>
      </c>
      <c r="B257" s="8">
        <v>2215</v>
      </c>
      <c r="C257" s="5" t="str">
        <f t="shared" si="12"/>
        <v>Краткосрочные вклады юридических лиц</v>
      </c>
      <c r="D257" s="8">
        <v>1</v>
      </c>
      <c r="E257" s="8">
        <v>7</v>
      </c>
      <c r="F257" s="8">
        <v>1</v>
      </c>
      <c r="G257" s="6">
        <v>226028047721.48</v>
      </c>
    </row>
    <row r="258" spans="1:7" ht="15">
      <c r="A258" s="4">
        <v>45289</v>
      </c>
      <c r="B258" s="8">
        <v>2215</v>
      </c>
      <c r="C258" s="5" t="str">
        <f t="shared" si="12"/>
        <v>Краткосрочные вклады юридических лиц</v>
      </c>
      <c r="D258" s="8">
        <v>1</v>
      </c>
      <c r="E258" s="8">
        <v>7</v>
      </c>
      <c r="F258" s="8">
        <v>2</v>
      </c>
      <c r="G258" s="6">
        <v>14815590483.73</v>
      </c>
    </row>
    <row r="259" spans="1:7" ht="15">
      <c r="A259" s="4">
        <v>45289</v>
      </c>
      <c r="B259" s="8">
        <v>2215</v>
      </c>
      <c r="C259" s="5" t="str">
        <f t="shared" si="12"/>
        <v>Краткосрочные вклады юридических лиц</v>
      </c>
      <c r="D259" s="8">
        <v>1</v>
      </c>
      <c r="E259" s="8">
        <v>7</v>
      </c>
      <c r="F259" s="8">
        <v>3</v>
      </c>
      <c r="G259" s="6">
        <v>9314384558.63</v>
      </c>
    </row>
    <row r="260" spans="1:7" ht="15">
      <c r="A260" s="4">
        <v>45289</v>
      </c>
      <c r="B260" s="8">
        <v>2215</v>
      </c>
      <c r="C260" s="5" t="str">
        <f t="shared" si="12"/>
        <v>Краткосрочные вклады юридических лиц</v>
      </c>
      <c r="D260" s="8">
        <v>1</v>
      </c>
      <c r="E260" s="8">
        <v>8</v>
      </c>
      <c r="F260" s="8">
        <v>1</v>
      </c>
      <c r="G260" s="6">
        <v>4562164540.99</v>
      </c>
    </row>
    <row r="261" spans="1:7" ht="15">
      <c r="A261" s="4">
        <v>45289</v>
      </c>
      <c r="B261" s="8">
        <v>2215</v>
      </c>
      <c r="C261" s="5" t="str">
        <f t="shared" si="12"/>
        <v>Краткосрочные вклады юридических лиц</v>
      </c>
      <c r="D261" s="8">
        <v>2</v>
      </c>
      <c r="E261" s="8">
        <v>7</v>
      </c>
      <c r="F261" s="8">
        <v>1</v>
      </c>
      <c r="G261" s="6">
        <v>248597049.73</v>
      </c>
    </row>
    <row r="262" spans="1:7" ht="15">
      <c r="A262" s="4">
        <v>45289</v>
      </c>
      <c r="B262" s="8">
        <v>2215</v>
      </c>
      <c r="C262" s="5" t="str">
        <f t="shared" si="12"/>
        <v>Краткосрочные вклады юридических лиц</v>
      </c>
      <c r="D262" s="8">
        <v>2</v>
      </c>
      <c r="E262" s="8">
        <v>7</v>
      </c>
      <c r="F262" s="8">
        <v>2</v>
      </c>
      <c r="G262" s="6">
        <v>645383101.6</v>
      </c>
    </row>
    <row r="263" spans="1:7" ht="15">
      <c r="A263" s="4">
        <v>45289</v>
      </c>
      <c r="B263" s="8">
        <v>2215</v>
      </c>
      <c r="C263" s="5" t="str">
        <f t="shared" si="12"/>
        <v>Краткосрочные вклады юридических лиц</v>
      </c>
      <c r="D263" s="8">
        <v>2</v>
      </c>
      <c r="E263" s="8">
        <v>7</v>
      </c>
      <c r="F263" s="8">
        <v>3</v>
      </c>
      <c r="G263" s="6">
        <v>31270800</v>
      </c>
    </row>
    <row r="264" spans="1:7" ht="15">
      <c r="A264" s="4">
        <v>45289</v>
      </c>
      <c r="B264" s="8">
        <v>2215</v>
      </c>
      <c r="C264" s="5" t="str">
        <f t="shared" si="12"/>
        <v>Краткосрочные вклады юридических лиц</v>
      </c>
      <c r="D264" s="8">
        <v>2</v>
      </c>
      <c r="E264" s="8">
        <v>8</v>
      </c>
      <c r="F264" s="8">
        <v>1</v>
      </c>
      <c r="G264" s="6">
        <v>7810000</v>
      </c>
    </row>
    <row r="265" spans="1:7" ht="15">
      <c r="A265" s="4">
        <v>45289</v>
      </c>
      <c r="B265" s="8">
        <v>2217</v>
      </c>
      <c r="C265" s="5" t="str">
        <f aca="true" t="shared" si="13" ref="C265:C270">"Долгосрочные вклады юридических лиц"</f>
        <v>Долгосрочные вклады юридических лиц</v>
      </c>
      <c r="D265" s="8">
        <v>1</v>
      </c>
      <c r="E265" s="8">
        <v>5</v>
      </c>
      <c r="F265" s="8">
        <v>1</v>
      </c>
      <c r="G265" s="6">
        <v>102763986593.2</v>
      </c>
    </row>
    <row r="266" spans="1:7" ht="15">
      <c r="A266" s="4">
        <v>45289</v>
      </c>
      <c r="B266" s="8">
        <v>2217</v>
      </c>
      <c r="C266" s="5" t="str">
        <f t="shared" si="13"/>
        <v>Долгосрочные вклады юридических лиц</v>
      </c>
      <c r="D266" s="8">
        <v>1</v>
      </c>
      <c r="E266" s="8">
        <v>6</v>
      </c>
      <c r="F266" s="8">
        <v>1</v>
      </c>
      <c r="G266" s="6">
        <v>70003000000</v>
      </c>
    </row>
    <row r="267" spans="1:7" ht="15">
      <c r="A267" s="4">
        <v>45289</v>
      </c>
      <c r="B267" s="8">
        <v>2217</v>
      </c>
      <c r="C267" s="5" t="str">
        <f t="shared" si="13"/>
        <v>Долгосрочные вклады юридических лиц</v>
      </c>
      <c r="D267" s="8">
        <v>1</v>
      </c>
      <c r="E267" s="8">
        <v>7</v>
      </c>
      <c r="F267" s="8">
        <v>1</v>
      </c>
      <c r="G267" s="6">
        <v>1544314464.6</v>
      </c>
    </row>
    <row r="268" spans="1:7" ht="15">
      <c r="A268" s="4">
        <v>45289</v>
      </c>
      <c r="B268" s="8">
        <v>2217</v>
      </c>
      <c r="C268" s="5" t="str">
        <f t="shared" si="13"/>
        <v>Долгосрочные вклады юридических лиц</v>
      </c>
      <c r="D268" s="8">
        <v>1</v>
      </c>
      <c r="E268" s="8">
        <v>7</v>
      </c>
      <c r="F268" s="8">
        <v>2</v>
      </c>
      <c r="G268" s="6">
        <v>390548574.43</v>
      </c>
    </row>
    <row r="269" spans="1:7" ht="15">
      <c r="A269" s="4">
        <v>45289</v>
      </c>
      <c r="B269" s="8">
        <v>2217</v>
      </c>
      <c r="C269" s="5" t="str">
        <f t="shared" si="13"/>
        <v>Долгосрочные вклады юридических лиц</v>
      </c>
      <c r="D269" s="8">
        <v>1</v>
      </c>
      <c r="E269" s="8">
        <v>7</v>
      </c>
      <c r="F269" s="8">
        <v>3</v>
      </c>
      <c r="G269" s="6">
        <v>1042324229.04</v>
      </c>
    </row>
    <row r="270" spans="1:7" ht="15">
      <c r="A270" s="4">
        <v>45289</v>
      </c>
      <c r="B270" s="8">
        <v>2217</v>
      </c>
      <c r="C270" s="5" t="str">
        <f t="shared" si="13"/>
        <v>Долгосрочные вклады юридических лиц</v>
      </c>
      <c r="D270" s="8">
        <v>1</v>
      </c>
      <c r="E270" s="8">
        <v>8</v>
      </c>
      <c r="F270" s="8">
        <v>1</v>
      </c>
      <c r="G270" s="6">
        <v>2292129.41</v>
      </c>
    </row>
    <row r="271" spans="1:7" ht="15">
      <c r="A271" s="4">
        <v>45289</v>
      </c>
      <c r="B271" s="8">
        <v>2219</v>
      </c>
      <c r="C271" s="5" t="str">
        <f aca="true" t="shared" si="14" ref="C271:C276">"Условные вклады юридических лиц"</f>
        <v>Условные вклады юридических лиц</v>
      </c>
      <c r="D271" s="8">
        <v>1</v>
      </c>
      <c r="E271" s="8">
        <v>7</v>
      </c>
      <c r="F271" s="8">
        <v>1</v>
      </c>
      <c r="G271" s="6">
        <v>1494527227.36</v>
      </c>
    </row>
    <row r="272" spans="1:7" ht="15">
      <c r="A272" s="4">
        <v>45289</v>
      </c>
      <c r="B272" s="8">
        <v>2219</v>
      </c>
      <c r="C272" s="5" t="str">
        <f t="shared" si="14"/>
        <v>Условные вклады юридических лиц</v>
      </c>
      <c r="D272" s="8">
        <v>1</v>
      </c>
      <c r="E272" s="8">
        <v>7</v>
      </c>
      <c r="F272" s="8">
        <v>2</v>
      </c>
      <c r="G272" s="6">
        <v>863701483.02</v>
      </c>
    </row>
    <row r="273" spans="1:7" ht="15">
      <c r="A273" s="4">
        <v>45289</v>
      </c>
      <c r="B273" s="8">
        <v>2219</v>
      </c>
      <c r="C273" s="5" t="str">
        <f t="shared" si="14"/>
        <v>Условные вклады юридических лиц</v>
      </c>
      <c r="D273" s="8">
        <v>1</v>
      </c>
      <c r="E273" s="8">
        <v>8</v>
      </c>
      <c r="F273" s="8">
        <v>1</v>
      </c>
      <c r="G273" s="6">
        <v>257000</v>
      </c>
    </row>
    <row r="274" spans="1:7" ht="15">
      <c r="A274" s="4">
        <v>45289</v>
      </c>
      <c r="B274" s="8">
        <v>2219</v>
      </c>
      <c r="C274" s="5" t="str">
        <f t="shared" si="14"/>
        <v>Условные вклады юридических лиц</v>
      </c>
      <c r="D274" s="8">
        <v>2</v>
      </c>
      <c r="E274" s="8">
        <v>7</v>
      </c>
      <c r="F274" s="8">
        <v>1</v>
      </c>
      <c r="G274" s="6">
        <v>192000</v>
      </c>
    </row>
    <row r="275" spans="1:7" ht="15">
      <c r="A275" s="4">
        <v>45289</v>
      </c>
      <c r="B275" s="8">
        <v>2219</v>
      </c>
      <c r="C275" s="5" t="str">
        <f t="shared" si="14"/>
        <v>Условные вклады юридических лиц</v>
      </c>
      <c r="D275" s="8">
        <v>2</v>
      </c>
      <c r="E275" s="8">
        <v>8</v>
      </c>
      <c r="F275" s="8">
        <v>1</v>
      </c>
      <c r="G275" s="6">
        <v>50774</v>
      </c>
    </row>
    <row r="276" spans="1:7" ht="15">
      <c r="A276" s="4">
        <v>45289</v>
      </c>
      <c r="B276" s="8">
        <v>2219</v>
      </c>
      <c r="C276" s="5" t="str">
        <f t="shared" si="14"/>
        <v>Условные вклады юридических лиц</v>
      </c>
      <c r="D276" s="8">
        <v>2</v>
      </c>
      <c r="E276" s="8">
        <v>8</v>
      </c>
      <c r="F276" s="8">
        <v>2</v>
      </c>
      <c r="G276" s="6">
        <v>107417.07</v>
      </c>
    </row>
    <row r="277" spans="1:7" ht="15">
      <c r="A277" s="4">
        <v>45289</v>
      </c>
      <c r="B277" s="8">
        <v>2223</v>
      </c>
      <c r="C277" s="5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D277" s="8">
        <v>1</v>
      </c>
      <c r="E277" s="8">
        <v>7</v>
      </c>
      <c r="F277" s="8">
        <v>1</v>
      </c>
      <c r="G277" s="6">
        <v>6897428567.7</v>
      </c>
    </row>
    <row r="278" spans="1:7" ht="15">
      <c r="A278" s="4">
        <v>45289</v>
      </c>
      <c r="B278" s="8">
        <v>2227</v>
      </c>
      <c r="C278" s="5" t="str">
        <f>"Обязательства по аренде"</f>
        <v>Обязательства по аренде</v>
      </c>
      <c r="D278" s="8">
        <v>1</v>
      </c>
      <c r="E278" s="8">
        <v>7</v>
      </c>
      <c r="F278" s="8">
        <v>1</v>
      </c>
      <c r="G278" s="6">
        <v>1584922638.23</v>
      </c>
    </row>
    <row r="279" spans="1:7" ht="15">
      <c r="A279" s="4">
        <v>45289</v>
      </c>
      <c r="B279" s="8">
        <v>2227</v>
      </c>
      <c r="C279" s="5" t="str">
        <f>"Обязательства по аренде"</f>
        <v>Обязательства по аренде</v>
      </c>
      <c r="D279" s="8">
        <v>1</v>
      </c>
      <c r="E279" s="8">
        <v>8</v>
      </c>
      <c r="F279" s="8">
        <v>1</v>
      </c>
      <c r="G279" s="6">
        <v>4417495.03</v>
      </c>
    </row>
    <row r="280" spans="1:7" ht="15">
      <c r="A280" s="4">
        <v>45289</v>
      </c>
      <c r="B280" s="8">
        <v>2227</v>
      </c>
      <c r="C280" s="5" t="str">
        <f>"Обязательства по аренде"</f>
        <v>Обязательства по аренде</v>
      </c>
      <c r="D280" s="8">
        <v>1</v>
      </c>
      <c r="E280" s="8">
        <v>9</v>
      </c>
      <c r="F280" s="8">
        <v>1</v>
      </c>
      <c r="G280" s="6">
        <v>972295666.37</v>
      </c>
    </row>
    <row r="281" spans="1:7" ht="15">
      <c r="A281" s="4">
        <v>45289</v>
      </c>
      <c r="B281" s="8">
        <v>2229</v>
      </c>
      <c r="C281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D281" s="8">
        <v>1</v>
      </c>
      <c r="E281" s="8">
        <v>9</v>
      </c>
      <c r="F281" s="8">
        <v>1</v>
      </c>
      <c r="G281" s="6">
        <v>6613147892.99</v>
      </c>
    </row>
    <row r="282" spans="1:7" ht="15">
      <c r="A282" s="4">
        <v>45289</v>
      </c>
      <c r="B282" s="8">
        <v>2229</v>
      </c>
      <c r="C282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D282" s="8">
        <v>2</v>
      </c>
      <c r="E282" s="8">
        <v>9</v>
      </c>
      <c r="F282" s="8">
        <v>1</v>
      </c>
      <c r="G282" s="6">
        <v>168761401.81</v>
      </c>
    </row>
    <row r="283" spans="1:7" ht="15">
      <c r="A283" s="4">
        <v>45289</v>
      </c>
      <c r="B283" s="8">
        <v>2237</v>
      </c>
      <c r="C283" s="5" t="str">
        <f aca="true" t="shared" si="15" ref="C283:C29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283" s="8">
        <v>1</v>
      </c>
      <c r="E283" s="8">
        <v>7</v>
      </c>
      <c r="F283" s="8">
        <v>1</v>
      </c>
      <c r="G283" s="6">
        <v>272170146.11</v>
      </c>
    </row>
    <row r="284" spans="1:7" ht="15">
      <c r="A284" s="4">
        <v>45289</v>
      </c>
      <c r="B284" s="8">
        <v>2237</v>
      </c>
      <c r="C284" s="5" t="str">
        <f t="shared" si="15"/>
        <v>Счет хранения указаний отправителя в соответствии с валютным законодательством Республики Казахстан</v>
      </c>
      <c r="D284" s="8">
        <v>1</v>
      </c>
      <c r="E284" s="8">
        <v>7</v>
      </c>
      <c r="F284" s="8">
        <v>2</v>
      </c>
      <c r="G284" s="6">
        <v>813478872.86</v>
      </c>
    </row>
    <row r="285" spans="1:7" ht="15">
      <c r="A285" s="4">
        <v>45289</v>
      </c>
      <c r="B285" s="8">
        <v>2237</v>
      </c>
      <c r="C285" s="5" t="str">
        <f t="shared" si="15"/>
        <v>Счет хранения указаний отправителя в соответствии с валютным законодательством Республики Казахстан</v>
      </c>
      <c r="D285" s="8">
        <v>1</v>
      </c>
      <c r="E285" s="8">
        <v>7</v>
      </c>
      <c r="F285" s="8">
        <v>3</v>
      </c>
      <c r="G285" s="6">
        <v>1224725618.8</v>
      </c>
    </row>
    <row r="286" spans="1:7" ht="15">
      <c r="A286" s="4">
        <v>45289</v>
      </c>
      <c r="B286" s="8">
        <v>2237</v>
      </c>
      <c r="C286" s="5" t="str">
        <f t="shared" si="15"/>
        <v>Счет хранения указаний отправителя в соответствии с валютным законодательством Республики Казахстан</v>
      </c>
      <c r="D286" s="8">
        <v>1</v>
      </c>
      <c r="E286" s="8">
        <v>9</v>
      </c>
      <c r="F286" s="8">
        <v>1</v>
      </c>
      <c r="G286" s="6">
        <v>46930</v>
      </c>
    </row>
    <row r="287" spans="1:7" ht="15">
      <c r="A287" s="4">
        <v>45289</v>
      </c>
      <c r="B287" s="8">
        <v>2237</v>
      </c>
      <c r="C287" s="5" t="str">
        <f t="shared" si="15"/>
        <v>Счет хранения указаний отправителя в соответствии с валютным законодательством Республики Казахстан</v>
      </c>
      <c r="D287" s="8">
        <v>1</v>
      </c>
      <c r="E287" s="8">
        <v>9</v>
      </c>
      <c r="F287" s="8">
        <v>2</v>
      </c>
      <c r="G287" s="6">
        <v>35755537.42</v>
      </c>
    </row>
    <row r="288" spans="1:7" ht="15">
      <c r="A288" s="4">
        <v>45289</v>
      </c>
      <c r="B288" s="8">
        <v>2237</v>
      </c>
      <c r="C288" s="5" t="str">
        <f t="shared" si="15"/>
        <v>Счет хранения указаний отправителя в соответствии с валютным законодательством Республики Казахстан</v>
      </c>
      <c r="D288" s="8">
        <v>1</v>
      </c>
      <c r="E288" s="8">
        <v>9</v>
      </c>
      <c r="F288" s="8">
        <v>3</v>
      </c>
      <c r="G288" s="6">
        <v>157034307.78</v>
      </c>
    </row>
    <row r="289" spans="1:7" ht="15">
      <c r="A289" s="4">
        <v>45289</v>
      </c>
      <c r="B289" s="8">
        <v>2237</v>
      </c>
      <c r="C289" s="5" t="str">
        <f t="shared" si="15"/>
        <v>Счет хранения указаний отправителя в соответствии с валютным законодательством Республики Казахстан</v>
      </c>
      <c r="D289" s="8">
        <v>2</v>
      </c>
      <c r="E289" s="8">
        <v>7</v>
      </c>
      <c r="F289" s="8">
        <v>1</v>
      </c>
      <c r="G289" s="6">
        <v>10308598.93</v>
      </c>
    </row>
    <row r="290" spans="1:7" ht="15">
      <c r="A290" s="4">
        <v>45289</v>
      </c>
      <c r="B290" s="8">
        <v>2237</v>
      </c>
      <c r="C290" s="5" t="str">
        <f t="shared" si="15"/>
        <v>Счет хранения указаний отправителя в соответствии с валютным законодательством Республики Казахстан</v>
      </c>
      <c r="D290" s="8">
        <v>2</v>
      </c>
      <c r="E290" s="8">
        <v>7</v>
      </c>
      <c r="F290" s="8">
        <v>2</v>
      </c>
      <c r="G290" s="6">
        <v>124217094.02</v>
      </c>
    </row>
    <row r="291" spans="1:7" ht="15">
      <c r="A291" s="4">
        <v>45289</v>
      </c>
      <c r="B291" s="8">
        <v>2237</v>
      </c>
      <c r="C291" s="5" t="str">
        <f t="shared" si="15"/>
        <v>Счет хранения указаний отправителя в соответствии с валютным законодательством Республики Казахстан</v>
      </c>
      <c r="D291" s="8">
        <v>2</v>
      </c>
      <c r="E291" s="8">
        <v>7</v>
      </c>
      <c r="F291" s="8">
        <v>3</v>
      </c>
      <c r="G291" s="6">
        <v>58942974.15</v>
      </c>
    </row>
    <row r="292" spans="1:7" ht="15">
      <c r="A292" s="4">
        <v>45289</v>
      </c>
      <c r="B292" s="8">
        <v>2237</v>
      </c>
      <c r="C292" s="5" t="str">
        <f t="shared" si="15"/>
        <v>Счет хранения указаний отправителя в соответствии с валютным законодательством Республики Казахстан</v>
      </c>
      <c r="D292" s="8">
        <v>2</v>
      </c>
      <c r="E292" s="8">
        <v>9</v>
      </c>
      <c r="F292" s="8">
        <v>1</v>
      </c>
      <c r="G292" s="6">
        <v>18064161.25</v>
      </c>
    </row>
    <row r="293" spans="1:7" ht="15">
      <c r="A293" s="4">
        <v>45289</v>
      </c>
      <c r="B293" s="8">
        <v>2237</v>
      </c>
      <c r="C293" s="5" t="str">
        <f t="shared" si="15"/>
        <v>Счет хранения указаний отправителя в соответствии с валютным законодательством Республики Казахстан</v>
      </c>
      <c r="D293" s="8">
        <v>2</v>
      </c>
      <c r="E293" s="8">
        <v>9</v>
      </c>
      <c r="F293" s="8">
        <v>2</v>
      </c>
      <c r="G293" s="6">
        <v>128083639.76</v>
      </c>
    </row>
    <row r="294" spans="1:7" ht="15">
      <c r="A294" s="4">
        <v>45289</v>
      </c>
      <c r="B294" s="8">
        <v>2237</v>
      </c>
      <c r="C294" s="5" t="str">
        <f t="shared" si="15"/>
        <v>Счет хранения указаний отправителя в соответствии с валютным законодательством Республики Казахстан</v>
      </c>
      <c r="D294" s="8">
        <v>2</v>
      </c>
      <c r="E294" s="8">
        <v>9</v>
      </c>
      <c r="F294" s="8">
        <v>3</v>
      </c>
      <c r="G294" s="6">
        <v>102074368</v>
      </c>
    </row>
    <row r="295" spans="1:7" ht="15">
      <c r="A295" s="4">
        <v>45289</v>
      </c>
      <c r="B295" s="8">
        <v>2240</v>
      </c>
      <c r="C295" s="5" t="str">
        <f aca="true" t="shared" si="16" ref="C295:C301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295" s="8">
        <v>1</v>
      </c>
      <c r="E295" s="8">
        <v>5</v>
      </c>
      <c r="F295" s="8">
        <v>1</v>
      </c>
      <c r="G295" s="6">
        <v>115000</v>
      </c>
    </row>
    <row r="296" spans="1:7" ht="15">
      <c r="A296" s="4">
        <v>45289</v>
      </c>
      <c r="B296" s="8">
        <v>2240</v>
      </c>
      <c r="C296" s="5" t="str">
        <f t="shared" si="16"/>
        <v>Счет хранения денег, принятых в качестве обеспечения (заклад, задаток) обязательств клиентов</v>
      </c>
      <c r="D296" s="8">
        <v>1</v>
      </c>
      <c r="E296" s="8">
        <v>6</v>
      </c>
      <c r="F296" s="8">
        <v>1</v>
      </c>
      <c r="G296" s="6">
        <v>15000</v>
      </c>
    </row>
    <row r="297" spans="1:7" ht="15">
      <c r="A297" s="4">
        <v>45289</v>
      </c>
      <c r="B297" s="8">
        <v>2240</v>
      </c>
      <c r="C297" s="5" t="str">
        <f t="shared" si="16"/>
        <v>Счет хранения денег, принятых в качестве обеспечения (заклад, задаток) обязательств клиентов</v>
      </c>
      <c r="D297" s="8">
        <v>1</v>
      </c>
      <c r="E297" s="8">
        <v>7</v>
      </c>
      <c r="F297" s="8">
        <v>1</v>
      </c>
      <c r="G297" s="6">
        <v>7776674300.35</v>
      </c>
    </row>
    <row r="298" spans="1:7" ht="15">
      <c r="A298" s="4">
        <v>45289</v>
      </c>
      <c r="B298" s="8">
        <v>2240</v>
      </c>
      <c r="C298" s="5" t="str">
        <f t="shared" si="16"/>
        <v>Счет хранения денег, принятых в качестве обеспечения (заклад, задаток) обязательств клиентов</v>
      </c>
      <c r="D298" s="8">
        <v>1</v>
      </c>
      <c r="E298" s="8">
        <v>8</v>
      </c>
      <c r="F298" s="8">
        <v>1</v>
      </c>
      <c r="G298" s="6">
        <v>10015000</v>
      </c>
    </row>
    <row r="299" spans="1:7" ht="15">
      <c r="A299" s="4">
        <v>45289</v>
      </c>
      <c r="B299" s="8">
        <v>2240</v>
      </c>
      <c r="C299" s="5" t="str">
        <f t="shared" si="16"/>
        <v>Счет хранения денег, принятых в качестве обеспечения (заклад, задаток) обязательств клиентов</v>
      </c>
      <c r="D299" s="8">
        <v>1</v>
      </c>
      <c r="E299" s="8">
        <v>9</v>
      </c>
      <c r="F299" s="8">
        <v>1</v>
      </c>
      <c r="G299" s="6">
        <v>767425219.07</v>
      </c>
    </row>
    <row r="300" spans="1:7" ht="15">
      <c r="A300" s="4">
        <v>45289</v>
      </c>
      <c r="B300" s="8">
        <v>2240</v>
      </c>
      <c r="C300" s="5" t="str">
        <f t="shared" si="16"/>
        <v>Счет хранения денег, принятых в качестве обеспечения (заклад, задаток) обязательств клиентов</v>
      </c>
      <c r="D300" s="8">
        <v>2</v>
      </c>
      <c r="E300" s="8">
        <v>7</v>
      </c>
      <c r="F300" s="8">
        <v>1</v>
      </c>
      <c r="G300" s="6">
        <v>340882989</v>
      </c>
    </row>
    <row r="301" spans="1:7" ht="15">
      <c r="A301" s="4">
        <v>45289</v>
      </c>
      <c r="B301" s="8">
        <v>2240</v>
      </c>
      <c r="C301" s="5" t="str">
        <f t="shared" si="16"/>
        <v>Счет хранения денег, принятых в качестве обеспечения (заклад, задаток) обязательств клиентов</v>
      </c>
      <c r="D301" s="8">
        <v>2</v>
      </c>
      <c r="E301" s="8">
        <v>9</v>
      </c>
      <c r="F301" s="8">
        <v>1</v>
      </c>
      <c r="G301" s="6">
        <v>4840400</v>
      </c>
    </row>
    <row r="302" spans="1:7" ht="15">
      <c r="A302" s="4">
        <v>45289</v>
      </c>
      <c r="B302" s="8">
        <v>2301</v>
      </c>
      <c r="C302" s="5" t="str">
        <f>"Выпущенные в обращение облигации"</f>
        <v>Выпущенные в обращение облигации</v>
      </c>
      <c r="D302" s="8">
        <v>1</v>
      </c>
      <c r="E302" s="8">
        <v>5</v>
      </c>
      <c r="F302" s="8">
        <v>1</v>
      </c>
      <c r="G302" s="6">
        <v>400000000000</v>
      </c>
    </row>
    <row r="303" spans="1:7" ht="15">
      <c r="A303" s="4">
        <v>45289</v>
      </c>
      <c r="B303" s="8">
        <v>2404</v>
      </c>
      <c r="C303" s="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D303" s="8">
        <v>1</v>
      </c>
      <c r="E303" s="8">
        <v>5</v>
      </c>
      <c r="F303" s="8">
        <v>1</v>
      </c>
      <c r="G303" s="6">
        <v>-2261854358.26</v>
      </c>
    </row>
    <row r="304" spans="1:7" ht="15">
      <c r="A304" s="4">
        <v>45289</v>
      </c>
      <c r="B304" s="8">
        <v>2406</v>
      </c>
      <c r="C304" s="5" t="str">
        <f>"Субординированные облигации"</f>
        <v>Субординированные облигации</v>
      </c>
      <c r="D304" s="8">
        <v>1</v>
      </c>
      <c r="E304" s="8">
        <v>5</v>
      </c>
      <c r="F304" s="8">
        <v>1</v>
      </c>
      <c r="G304" s="6">
        <v>3200000000</v>
      </c>
    </row>
    <row r="305" spans="1:7" ht="15">
      <c r="A305" s="4">
        <v>45289</v>
      </c>
      <c r="B305" s="8">
        <v>2705</v>
      </c>
      <c r="C305" s="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D305" s="8">
        <v>1</v>
      </c>
      <c r="E305" s="8">
        <v>4</v>
      </c>
      <c r="F305" s="8">
        <v>1</v>
      </c>
      <c r="G305" s="6">
        <v>166666666.91</v>
      </c>
    </row>
    <row r="306" spans="1:7" ht="15">
      <c r="A306" s="4">
        <v>45289</v>
      </c>
      <c r="B306" s="8">
        <v>2706</v>
      </c>
      <c r="C306" s="5" t="str">
        <f>"Начисленные расходы по займам и финансовому лизингу"</f>
        <v>Начисленные расходы по займам и финансовому лизингу</v>
      </c>
      <c r="D306" s="8">
        <v>1</v>
      </c>
      <c r="E306" s="8">
        <v>5</v>
      </c>
      <c r="F306" s="8">
        <v>1</v>
      </c>
      <c r="G306" s="6">
        <v>33444444.54</v>
      </c>
    </row>
    <row r="307" spans="1:7" ht="15">
      <c r="A307" s="4">
        <v>45289</v>
      </c>
      <c r="B307" s="8">
        <v>2707</v>
      </c>
      <c r="C307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7" s="8">
        <v>1</v>
      </c>
      <c r="E307" s="8">
        <v>7</v>
      </c>
      <c r="F307" s="8">
        <v>1</v>
      </c>
      <c r="G307" s="6">
        <v>207541.34</v>
      </c>
    </row>
    <row r="308" spans="1:7" ht="15">
      <c r="A308" s="4">
        <v>45289</v>
      </c>
      <c r="B308" s="8">
        <v>2707</v>
      </c>
      <c r="C308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8" s="8">
        <v>1</v>
      </c>
      <c r="E308" s="8">
        <v>9</v>
      </c>
      <c r="F308" s="8">
        <v>1</v>
      </c>
      <c r="G308" s="6">
        <v>3885545.04</v>
      </c>
    </row>
    <row r="309" spans="1:7" ht="15">
      <c r="A309" s="4">
        <v>45289</v>
      </c>
      <c r="B309" s="8">
        <v>2707</v>
      </c>
      <c r="C309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9" s="8">
        <v>1</v>
      </c>
      <c r="E309" s="8">
        <v>9</v>
      </c>
      <c r="F309" s="8">
        <v>2</v>
      </c>
      <c r="G309" s="6">
        <v>382257.68</v>
      </c>
    </row>
    <row r="310" spans="1:7" ht="15">
      <c r="A310" s="4">
        <v>45289</v>
      </c>
      <c r="B310" s="8">
        <v>2719</v>
      </c>
      <c r="C310" s="5" t="str">
        <f aca="true" t="shared" si="17" ref="C310:C316">"Начисленные расходы по условным вкладам клиентов"</f>
        <v>Начисленные расходы по условным вкладам клиентов</v>
      </c>
      <c r="D310" s="8">
        <v>1</v>
      </c>
      <c r="E310" s="8">
        <v>5</v>
      </c>
      <c r="F310" s="8">
        <v>1</v>
      </c>
      <c r="G310" s="6">
        <v>29.61</v>
      </c>
    </row>
    <row r="311" spans="1:7" ht="15">
      <c r="A311" s="4">
        <v>45289</v>
      </c>
      <c r="B311" s="8">
        <v>2719</v>
      </c>
      <c r="C311" s="5" t="str">
        <f t="shared" si="17"/>
        <v>Начисленные расходы по условным вкладам клиентов</v>
      </c>
      <c r="D311" s="8">
        <v>1</v>
      </c>
      <c r="E311" s="8">
        <v>7</v>
      </c>
      <c r="F311" s="8">
        <v>1</v>
      </c>
      <c r="G311" s="6">
        <v>19415992.79</v>
      </c>
    </row>
    <row r="312" spans="1:7" ht="15">
      <c r="A312" s="4">
        <v>45289</v>
      </c>
      <c r="B312" s="8">
        <v>2719</v>
      </c>
      <c r="C312" s="5" t="str">
        <f t="shared" si="17"/>
        <v>Начисленные расходы по условным вкладам клиентов</v>
      </c>
      <c r="D312" s="8">
        <v>1</v>
      </c>
      <c r="E312" s="8">
        <v>7</v>
      </c>
      <c r="F312" s="8">
        <v>2</v>
      </c>
      <c r="G312" s="6">
        <v>4815163.16</v>
      </c>
    </row>
    <row r="313" spans="1:7" ht="15">
      <c r="A313" s="4">
        <v>45289</v>
      </c>
      <c r="B313" s="8">
        <v>2719</v>
      </c>
      <c r="C313" s="5" t="str">
        <f t="shared" si="17"/>
        <v>Начисленные расходы по условным вкладам клиентов</v>
      </c>
      <c r="D313" s="8">
        <v>1</v>
      </c>
      <c r="E313" s="8">
        <v>8</v>
      </c>
      <c r="F313" s="8">
        <v>1</v>
      </c>
      <c r="G313" s="6">
        <v>10832.37</v>
      </c>
    </row>
    <row r="314" spans="1:7" ht="15">
      <c r="A314" s="4">
        <v>45289</v>
      </c>
      <c r="B314" s="8">
        <v>2719</v>
      </c>
      <c r="C314" s="5" t="str">
        <f t="shared" si="17"/>
        <v>Начисленные расходы по условным вкладам клиентов</v>
      </c>
      <c r="D314" s="8">
        <v>1</v>
      </c>
      <c r="E314" s="8">
        <v>9</v>
      </c>
      <c r="F314" s="8">
        <v>1</v>
      </c>
      <c r="G314" s="6">
        <v>72907.99</v>
      </c>
    </row>
    <row r="315" spans="1:7" ht="15">
      <c r="A315" s="4">
        <v>45289</v>
      </c>
      <c r="B315" s="8">
        <v>2719</v>
      </c>
      <c r="C315" s="5" t="str">
        <f t="shared" si="17"/>
        <v>Начисленные расходы по условным вкладам клиентов</v>
      </c>
      <c r="D315" s="8">
        <v>2</v>
      </c>
      <c r="E315" s="8">
        <v>7</v>
      </c>
      <c r="F315" s="8">
        <v>1</v>
      </c>
      <c r="G315" s="6">
        <v>29.25</v>
      </c>
    </row>
    <row r="316" spans="1:7" ht="15">
      <c r="A316" s="4">
        <v>45289</v>
      </c>
      <c r="B316" s="8">
        <v>2719</v>
      </c>
      <c r="C316" s="5" t="str">
        <f t="shared" si="17"/>
        <v>Начисленные расходы по условным вкладам клиентов</v>
      </c>
      <c r="D316" s="8">
        <v>2</v>
      </c>
      <c r="E316" s="8">
        <v>8</v>
      </c>
      <c r="F316" s="8">
        <v>2</v>
      </c>
      <c r="G316" s="6">
        <v>36628.44</v>
      </c>
    </row>
    <row r="317" spans="1:7" ht="15">
      <c r="A317" s="4">
        <v>45289</v>
      </c>
      <c r="B317" s="8">
        <v>2720</v>
      </c>
      <c r="C317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7" s="8">
        <v>1</v>
      </c>
      <c r="E317" s="8">
        <v>9</v>
      </c>
      <c r="F317" s="8">
        <v>1</v>
      </c>
      <c r="G317" s="6">
        <v>447034.56</v>
      </c>
    </row>
    <row r="318" spans="1:7" ht="15">
      <c r="A318" s="4">
        <v>45289</v>
      </c>
      <c r="B318" s="8">
        <v>2720</v>
      </c>
      <c r="C318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8" s="8">
        <v>1</v>
      </c>
      <c r="E318" s="8">
        <v>9</v>
      </c>
      <c r="F318" s="8">
        <v>2</v>
      </c>
      <c r="G318" s="6">
        <v>4840.36</v>
      </c>
    </row>
    <row r="319" spans="1:7" ht="15">
      <c r="A319" s="4">
        <v>45289</v>
      </c>
      <c r="B319" s="8">
        <v>2720</v>
      </c>
      <c r="C319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9" s="8">
        <v>1</v>
      </c>
      <c r="E319" s="8">
        <v>9</v>
      </c>
      <c r="F319" s="8">
        <v>3</v>
      </c>
      <c r="G319" s="6">
        <v>2465.82</v>
      </c>
    </row>
    <row r="320" spans="1:7" ht="15">
      <c r="A320" s="4">
        <v>45289</v>
      </c>
      <c r="B320" s="8">
        <v>2720</v>
      </c>
      <c r="C320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0" s="8">
        <v>2</v>
      </c>
      <c r="E320" s="8">
        <v>9</v>
      </c>
      <c r="F320" s="8">
        <v>1</v>
      </c>
      <c r="G320" s="6">
        <v>24.23</v>
      </c>
    </row>
    <row r="321" spans="1:7" ht="15">
      <c r="A321" s="4">
        <v>45289</v>
      </c>
      <c r="B321" s="8">
        <v>2720</v>
      </c>
      <c r="C321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1" s="8">
        <v>2</v>
      </c>
      <c r="E321" s="8">
        <v>9</v>
      </c>
      <c r="F321" s="8">
        <v>2</v>
      </c>
      <c r="G321" s="6">
        <v>20.09</v>
      </c>
    </row>
    <row r="322" spans="1:7" ht="15">
      <c r="A322" s="4">
        <v>45289</v>
      </c>
      <c r="B322" s="8">
        <v>2721</v>
      </c>
      <c r="C322" s="5" t="str">
        <f aca="true" t="shared" si="18" ref="C322:C339">"Начисленные расходы по срочным вкладам клиентов"</f>
        <v>Начисленные расходы по срочным вкладам клиентов</v>
      </c>
      <c r="D322" s="8">
        <v>1</v>
      </c>
      <c r="E322" s="8">
        <v>5</v>
      </c>
      <c r="F322" s="8">
        <v>1</v>
      </c>
      <c r="G322" s="6">
        <v>132002559.69</v>
      </c>
    </row>
    <row r="323" spans="1:7" ht="15">
      <c r="A323" s="4">
        <v>45289</v>
      </c>
      <c r="B323" s="8">
        <v>2721</v>
      </c>
      <c r="C323" s="5" t="str">
        <f t="shared" si="18"/>
        <v>Начисленные расходы по срочным вкладам клиентов</v>
      </c>
      <c r="D323" s="8">
        <v>1</v>
      </c>
      <c r="E323" s="8">
        <v>5</v>
      </c>
      <c r="F323" s="8">
        <v>2</v>
      </c>
      <c r="G323" s="6">
        <v>767720.03</v>
      </c>
    </row>
    <row r="324" spans="1:7" ht="15">
      <c r="A324" s="4">
        <v>45289</v>
      </c>
      <c r="B324" s="8">
        <v>2721</v>
      </c>
      <c r="C324" s="5" t="str">
        <f t="shared" si="18"/>
        <v>Начисленные расходы по срочным вкладам клиентов</v>
      </c>
      <c r="D324" s="8">
        <v>1</v>
      </c>
      <c r="E324" s="8">
        <v>5</v>
      </c>
      <c r="F324" s="8">
        <v>3</v>
      </c>
      <c r="G324" s="6">
        <v>30538328.87</v>
      </c>
    </row>
    <row r="325" spans="1:7" ht="15">
      <c r="A325" s="4">
        <v>45289</v>
      </c>
      <c r="B325" s="8">
        <v>2721</v>
      </c>
      <c r="C325" s="5" t="str">
        <f t="shared" si="18"/>
        <v>Начисленные расходы по срочным вкладам клиентов</v>
      </c>
      <c r="D325" s="8">
        <v>1</v>
      </c>
      <c r="E325" s="8">
        <v>6</v>
      </c>
      <c r="F325" s="8">
        <v>1</v>
      </c>
      <c r="G325" s="6">
        <v>229214296.05</v>
      </c>
    </row>
    <row r="326" spans="1:7" ht="15">
      <c r="A326" s="4">
        <v>45289</v>
      </c>
      <c r="B326" s="8">
        <v>2721</v>
      </c>
      <c r="C326" s="5" t="str">
        <f t="shared" si="18"/>
        <v>Начисленные расходы по срочным вкладам клиентов</v>
      </c>
      <c r="D326" s="8">
        <v>1</v>
      </c>
      <c r="E326" s="8">
        <v>7</v>
      </c>
      <c r="F326" s="8">
        <v>1</v>
      </c>
      <c r="G326" s="6">
        <v>1650805176.44</v>
      </c>
    </row>
    <row r="327" spans="1:7" ht="15">
      <c r="A327" s="4">
        <v>45289</v>
      </c>
      <c r="B327" s="8">
        <v>2721</v>
      </c>
      <c r="C327" s="5" t="str">
        <f t="shared" si="18"/>
        <v>Начисленные расходы по срочным вкладам клиентов</v>
      </c>
      <c r="D327" s="8">
        <v>1</v>
      </c>
      <c r="E327" s="8">
        <v>7</v>
      </c>
      <c r="F327" s="8">
        <v>2</v>
      </c>
      <c r="G327" s="6">
        <v>8185543.74</v>
      </c>
    </row>
    <row r="328" spans="1:7" ht="15">
      <c r="A328" s="4">
        <v>45289</v>
      </c>
      <c r="B328" s="8">
        <v>2721</v>
      </c>
      <c r="C328" s="5" t="str">
        <f t="shared" si="18"/>
        <v>Начисленные расходы по срочным вкладам клиентов</v>
      </c>
      <c r="D328" s="8">
        <v>1</v>
      </c>
      <c r="E328" s="8">
        <v>7</v>
      </c>
      <c r="F328" s="8">
        <v>3</v>
      </c>
      <c r="G328" s="6">
        <v>23682089.75</v>
      </c>
    </row>
    <row r="329" spans="1:7" ht="15">
      <c r="A329" s="4">
        <v>45289</v>
      </c>
      <c r="B329" s="8">
        <v>2721</v>
      </c>
      <c r="C329" s="5" t="str">
        <f t="shared" si="18"/>
        <v>Начисленные расходы по срочным вкладам клиентов</v>
      </c>
      <c r="D329" s="8">
        <v>1</v>
      </c>
      <c r="E329" s="8">
        <v>8</v>
      </c>
      <c r="F329" s="8">
        <v>1</v>
      </c>
      <c r="G329" s="6">
        <v>19757605.45</v>
      </c>
    </row>
    <row r="330" spans="1:7" ht="15">
      <c r="A330" s="4">
        <v>45289</v>
      </c>
      <c r="B330" s="8">
        <v>2721</v>
      </c>
      <c r="C330" s="5" t="str">
        <f t="shared" si="18"/>
        <v>Начисленные расходы по срочным вкладам клиентов</v>
      </c>
      <c r="D330" s="8">
        <v>1</v>
      </c>
      <c r="E330" s="8">
        <v>9</v>
      </c>
      <c r="F330" s="8">
        <v>1</v>
      </c>
      <c r="G330" s="6">
        <v>1064782761.56</v>
      </c>
    </row>
    <row r="331" spans="1:7" ht="15">
      <c r="A331" s="4">
        <v>45289</v>
      </c>
      <c r="B331" s="8">
        <v>2721</v>
      </c>
      <c r="C331" s="5" t="str">
        <f t="shared" si="18"/>
        <v>Начисленные расходы по срочным вкладам клиентов</v>
      </c>
      <c r="D331" s="8">
        <v>1</v>
      </c>
      <c r="E331" s="8">
        <v>9</v>
      </c>
      <c r="F331" s="8">
        <v>2</v>
      </c>
      <c r="G331" s="6">
        <v>10981842.35</v>
      </c>
    </row>
    <row r="332" spans="1:7" ht="15">
      <c r="A332" s="4">
        <v>45289</v>
      </c>
      <c r="B332" s="8">
        <v>2721</v>
      </c>
      <c r="C332" s="5" t="str">
        <f t="shared" si="18"/>
        <v>Начисленные расходы по срочным вкладам клиентов</v>
      </c>
      <c r="D332" s="8">
        <v>1</v>
      </c>
      <c r="E332" s="8">
        <v>9</v>
      </c>
      <c r="F332" s="8">
        <v>3</v>
      </c>
      <c r="G332" s="6">
        <v>1812067.32</v>
      </c>
    </row>
    <row r="333" spans="1:7" ht="15">
      <c r="A333" s="4">
        <v>45289</v>
      </c>
      <c r="B333" s="8">
        <v>2721</v>
      </c>
      <c r="C333" s="5" t="str">
        <f t="shared" si="18"/>
        <v>Начисленные расходы по срочным вкладам клиентов</v>
      </c>
      <c r="D333" s="8">
        <v>2</v>
      </c>
      <c r="E333" s="8">
        <v>7</v>
      </c>
      <c r="F333" s="8">
        <v>1</v>
      </c>
      <c r="G333" s="6">
        <v>4522353.81</v>
      </c>
    </row>
    <row r="334" spans="1:7" ht="15">
      <c r="A334" s="4">
        <v>45289</v>
      </c>
      <c r="B334" s="8">
        <v>2721</v>
      </c>
      <c r="C334" s="5" t="str">
        <f t="shared" si="18"/>
        <v>Начисленные расходы по срочным вкладам клиентов</v>
      </c>
      <c r="D334" s="8">
        <v>2</v>
      </c>
      <c r="E334" s="8">
        <v>7</v>
      </c>
      <c r="F334" s="8">
        <v>2</v>
      </c>
      <c r="G334" s="6">
        <v>238712.18</v>
      </c>
    </row>
    <row r="335" spans="1:7" ht="15">
      <c r="A335" s="4">
        <v>45289</v>
      </c>
      <c r="B335" s="8">
        <v>2721</v>
      </c>
      <c r="C335" s="5" t="str">
        <f t="shared" si="18"/>
        <v>Начисленные расходы по срочным вкладам клиентов</v>
      </c>
      <c r="D335" s="8">
        <v>2</v>
      </c>
      <c r="E335" s="8">
        <v>7</v>
      </c>
      <c r="F335" s="8">
        <v>3</v>
      </c>
      <c r="G335" s="6">
        <v>23173.33</v>
      </c>
    </row>
    <row r="336" spans="1:7" ht="15">
      <c r="A336" s="4">
        <v>45289</v>
      </c>
      <c r="B336" s="8">
        <v>2721</v>
      </c>
      <c r="C336" s="5" t="str">
        <f t="shared" si="18"/>
        <v>Начисленные расходы по срочным вкладам клиентов</v>
      </c>
      <c r="D336" s="8">
        <v>2</v>
      </c>
      <c r="E336" s="8">
        <v>8</v>
      </c>
      <c r="F336" s="8">
        <v>1</v>
      </c>
      <c r="G336" s="6">
        <v>13869.03</v>
      </c>
    </row>
    <row r="337" spans="1:7" ht="15">
      <c r="A337" s="4">
        <v>45289</v>
      </c>
      <c r="B337" s="8">
        <v>2721</v>
      </c>
      <c r="C337" s="5" t="str">
        <f t="shared" si="18"/>
        <v>Начисленные расходы по срочным вкладам клиентов</v>
      </c>
      <c r="D337" s="8">
        <v>2</v>
      </c>
      <c r="E337" s="8">
        <v>9</v>
      </c>
      <c r="F337" s="8">
        <v>1</v>
      </c>
      <c r="G337" s="6">
        <v>30403365.24</v>
      </c>
    </row>
    <row r="338" spans="1:7" ht="15">
      <c r="A338" s="4">
        <v>45289</v>
      </c>
      <c r="B338" s="8">
        <v>2721</v>
      </c>
      <c r="C338" s="5" t="str">
        <f t="shared" si="18"/>
        <v>Начисленные расходы по срочным вкладам клиентов</v>
      </c>
      <c r="D338" s="8">
        <v>2</v>
      </c>
      <c r="E338" s="8">
        <v>9</v>
      </c>
      <c r="F338" s="8">
        <v>2</v>
      </c>
      <c r="G338" s="6">
        <v>752895.43</v>
      </c>
    </row>
    <row r="339" spans="1:7" ht="15">
      <c r="A339" s="4">
        <v>45289</v>
      </c>
      <c r="B339" s="8">
        <v>2721</v>
      </c>
      <c r="C339" s="5" t="str">
        <f t="shared" si="18"/>
        <v>Начисленные расходы по срочным вкладам клиентов</v>
      </c>
      <c r="D339" s="8">
        <v>2</v>
      </c>
      <c r="E339" s="8">
        <v>9</v>
      </c>
      <c r="F339" s="8">
        <v>3</v>
      </c>
      <c r="G339" s="6">
        <v>44949.02</v>
      </c>
    </row>
    <row r="340" spans="1:7" ht="15">
      <c r="A340" s="4">
        <v>45289</v>
      </c>
      <c r="B340" s="8">
        <v>2723</v>
      </c>
      <c r="C340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0" s="8">
        <v>1</v>
      </c>
      <c r="E340" s="8">
        <v>7</v>
      </c>
      <c r="F340" s="8">
        <v>1</v>
      </c>
      <c r="G340" s="6">
        <v>35555160.64</v>
      </c>
    </row>
    <row r="341" spans="1:7" ht="15">
      <c r="A341" s="4">
        <v>45289</v>
      </c>
      <c r="B341" s="8">
        <v>2723</v>
      </c>
      <c r="C341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1" s="8">
        <v>1</v>
      </c>
      <c r="E341" s="8">
        <v>9</v>
      </c>
      <c r="F341" s="8">
        <v>1</v>
      </c>
      <c r="G341" s="6">
        <v>40575216.09</v>
      </c>
    </row>
    <row r="342" spans="1:7" ht="15">
      <c r="A342" s="4">
        <v>45289</v>
      </c>
      <c r="B342" s="8">
        <v>2723</v>
      </c>
      <c r="C342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2" s="8">
        <v>1</v>
      </c>
      <c r="E342" s="8">
        <v>9</v>
      </c>
      <c r="F342" s="8">
        <v>2</v>
      </c>
      <c r="G342" s="6">
        <v>784706.93</v>
      </c>
    </row>
    <row r="343" spans="1:7" ht="15">
      <c r="A343" s="4">
        <v>45289</v>
      </c>
      <c r="B343" s="8">
        <v>2724</v>
      </c>
      <c r="C343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43" s="8">
        <v>1</v>
      </c>
      <c r="E343" s="8">
        <v>7</v>
      </c>
      <c r="F343" s="8">
        <v>1</v>
      </c>
      <c r="G343" s="6">
        <v>47979.44</v>
      </c>
    </row>
    <row r="344" spans="1:7" ht="15">
      <c r="A344" s="4">
        <v>45289</v>
      </c>
      <c r="B344" s="8">
        <v>2724</v>
      </c>
      <c r="C344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44" s="8">
        <v>1</v>
      </c>
      <c r="E344" s="8">
        <v>9</v>
      </c>
      <c r="F344" s="8">
        <v>1</v>
      </c>
      <c r="G344" s="6">
        <v>911840778.35</v>
      </c>
    </row>
    <row r="345" spans="1:7" ht="15">
      <c r="A345" s="4">
        <v>45289</v>
      </c>
      <c r="B345" s="8">
        <v>2724</v>
      </c>
      <c r="C345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45" s="8">
        <v>2</v>
      </c>
      <c r="E345" s="8">
        <v>9</v>
      </c>
      <c r="F345" s="8">
        <v>1</v>
      </c>
      <c r="G345" s="6">
        <v>26882741.59</v>
      </c>
    </row>
    <row r="346" spans="1:7" ht="15">
      <c r="A346" s="4">
        <v>45289</v>
      </c>
      <c r="B346" s="8">
        <v>2730</v>
      </c>
      <c r="C346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346" s="8">
        <v>1</v>
      </c>
      <c r="E346" s="8">
        <v>5</v>
      </c>
      <c r="F346" s="8">
        <v>1</v>
      </c>
      <c r="G346" s="6">
        <v>20246575342.38</v>
      </c>
    </row>
    <row r="347" spans="1:7" ht="15">
      <c r="A347" s="4">
        <v>45289</v>
      </c>
      <c r="B347" s="8">
        <v>2731</v>
      </c>
      <c r="C347" s="5" t="str">
        <f>"Начисленные расходы по прочим операциям"</f>
        <v>Начисленные расходы по прочим операциям</v>
      </c>
      <c r="D347" s="8">
        <v>1</v>
      </c>
      <c r="E347" s="8">
        <v>9</v>
      </c>
      <c r="F347" s="8">
        <v>1</v>
      </c>
      <c r="G347" s="6">
        <v>35269178.24</v>
      </c>
    </row>
    <row r="348" spans="1:7" ht="15">
      <c r="A348" s="4">
        <v>45289</v>
      </c>
      <c r="B348" s="8">
        <v>2745</v>
      </c>
      <c r="C348" s="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D348" s="8">
        <v>1</v>
      </c>
      <c r="E348" s="8">
        <v>7</v>
      </c>
      <c r="F348" s="8">
        <v>1</v>
      </c>
      <c r="G348" s="6">
        <v>10610015.73</v>
      </c>
    </row>
    <row r="349" spans="1:7" ht="15">
      <c r="A349" s="4">
        <v>45289</v>
      </c>
      <c r="B349" s="8">
        <v>2745</v>
      </c>
      <c r="C349" s="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D349" s="8">
        <v>1</v>
      </c>
      <c r="E349" s="8">
        <v>8</v>
      </c>
      <c r="F349" s="8">
        <v>1</v>
      </c>
      <c r="G349" s="6">
        <v>28934.19</v>
      </c>
    </row>
    <row r="350" spans="1:7" ht="15">
      <c r="A350" s="4">
        <v>45289</v>
      </c>
      <c r="B350" s="8">
        <v>2745</v>
      </c>
      <c r="C350" s="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D350" s="8">
        <v>1</v>
      </c>
      <c r="E350" s="8">
        <v>9</v>
      </c>
      <c r="F350" s="8">
        <v>1</v>
      </c>
      <c r="G350" s="6">
        <v>6282125.32</v>
      </c>
    </row>
    <row r="351" spans="1:7" ht="15">
      <c r="A351" s="4">
        <v>45289</v>
      </c>
      <c r="B351" s="8">
        <v>2756</v>
      </c>
      <c r="C351" s="5" t="str">
        <f>"Начисленные расходы по субординированным облигациям"</f>
        <v>Начисленные расходы по субординированным облигациям</v>
      </c>
      <c r="D351" s="8">
        <v>1</v>
      </c>
      <c r="E351" s="8">
        <v>5</v>
      </c>
      <c r="F351" s="8">
        <v>1</v>
      </c>
      <c r="G351" s="6">
        <v>114849.32</v>
      </c>
    </row>
    <row r="352" spans="1:7" ht="15">
      <c r="A352" s="4">
        <v>45289</v>
      </c>
      <c r="B352" s="8">
        <v>2770</v>
      </c>
      <c r="C352" s="5" t="str">
        <f aca="true" t="shared" si="19" ref="C352:C35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352" s="8">
        <v>1</v>
      </c>
      <c r="E352" s="8">
        <v>1</v>
      </c>
      <c r="F352" s="8">
        <v>1</v>
      </c>
      <c r="G352" s="6">
        <v>235978</v>
      </c>
    </row>
    <row r="353" spans="1:7" ht="15">
      <c r="A353" s="4">
        <v>45289</v>
      </c>
      <c r="B353" s="8">
        <v>2770</v>
      </c>
      <c r="C353" s="5" t="str">
        <f t="shared" si="19"/>
        <v>Начисленные расходы по административно-хозяйственной деятельности</v>
      </c>
      <c r="D353" s="8">
        <v>1</v>
      </c>
      <c r="E353" s="8">
        <v>5</v>
      </c>
      <c r="F353" s="8">
        <v>1</v>
      </c>
      <c r="G353" s="6">
        <v>21233393</v>
      </c>
    </row>
    <row r="354" spans="1:7" ht="15">
      <c r="A354" s="4">
        <v>45289</v>
      </c>
      <c r="B354" s="8">
        <v>2770</v>
      </c>
      <c r="C354" s="5" t="str">
        <f t="shared" si="19"/>
        <v>Начисленные расходы по административно-хозяйственной деятельности</v>
      </c>
      <c r="D354" s="8">
        <v>1</v>
      </c>
      <c r="E354" s="8">
        <v>6</v>
      </c>
      <c r="F354" s="8">
        <v>1</v>
      </c>
      <c r="G354" s="6">
        <v>50500392.73</v>
      </c>
    </row>
    <row r="355" spans="1:7" ht="15">
      <c r="A355" s="4">
        <v>45289</v>
      </c>
      <c r="B355" s="8">
        <v>2770</v>
      </c>
      <c r="C355" s="5" t="str">
        <f t="shared" si="19"/>
        <v>Начисленные расходы по административно-хозяйственной деятельности</v>
      </c>
      <c r="D355" s="8">
        <v>1</v>
      </c>
      <c r="E355" s="8">
        <v>7</v>
      </c>
      <c r="F355" s="8">
        <v>1</v>
      </c>
      <c r="G355" s="6">
        <v>1389072804.49</v>
      </c>
    </row>
    <row r="356" spans="1:7" ht="15">
      <c r="A356" s="4">
        <v>45289</v>
      </c>
      <c r="B356" s="8">
        <v>2770</v>
      </c>
      <c r="C356" s="5" t="str">
        <f t="shared" si="19"/>
        <v>Начисленные расходы по административно-хозяйственной деятельности</v>
      </c>
      <c r="D356" s="8">
        <v>1</v>
      </c>
      <c r="E356" s="8">
        <v>8</v>
      </c>
      <c r="F356" s="8">
        <v>1</v>
      </c>
      <c r="G356" s="6">
        <v>2072232</v>
      </c>
    </row>
    <row r="357" spans="1:7" ht="15">
      <c r="A357" s="4">
        <v>45289</v>
      </c>
      <c r="B357" s="8">
        <v>2770</v>
      </c>
      <c r="C357" s="5" t="str">
        <f t="shared" si="19"/>
        <v>Начисленные расходы по административно-хозяйственной деятельности</v>
      </c>
      <c r="D357" s="8">
        <v>1</v>
      </c>
      <c r="E357" s="8">
        <v>9</v>
      </c>
      <c r="F357" s="8">
        <v>1</v>
      </c>
      <c r="G357" s="6">
        <v>238040760.42</v>
      </c>
    </row>
    <row r="358" spans="1:7" ht="15">
      <c r="A358" s="4">
        <v>45289</v>
      </c>
      <c r="B358" s="8">
        <v>2770</v>
      </c>
      <c r="C358" s="5" t="str">
        <f t="shared" si="19"/>
        <v>Начисленные расходы по административно-хозяйственной деятельности</v>
      </c>
      <c r="D358" s="8">
        <v>2</v>
      </c>
      <c r="E358" s="8">
        <v>5</v>
      </c>
      <c r="F358" s="8">
        <v>1</v>
      </c>
      <c r="G358" s="6">
        <v>640000</v>
      </c>
    </row>
    <row r="359" spans="1:7" ht="15">
      <c r="A359" s="4">
        <v>45289</v>
      </c>
      <c r="B359" s="8">
        <v>2770</v>
      </c>
      <c r="C359" s="5" t="str">
        <f t="shared" si="19"/>
        <v>Начисленные расходы по административно-хозяйственной деятельности</v>
      </c>
      <c r="D359" s="8">
        <v>2</v>
      </c>
      <c r="E359" s="8">
        <v>7</v>
      </c>
      <c r="F359" s="8">
        <v>1</v>
      </c>
      <c r="G359" s="6">
        <v>93551518</v>
      </c>
    </row>
    <row r="360" spans="1:7" ht="15">
      <c r="A360" s="4">
        <v>45289</v>
      </c>
      <c r="B360" s="8">
        <v>2792</v>
      </c>
      <c r="C360" s="5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60" s="8">
        <v>1</v>
      </c>
      <c r="E360" s="8">
        <v>7</v>
      </c>
      <c r="F360" s="8">
        <v>1</v>
      </c>
      <c r="G360" s="6">
        <v>13059774.56</v>
      </c>
    </row>
    <row r="361" spans="1:7" ht="15">
      <c r="A361" s="4">
        <v>45289</v>
      </c>
      <c r="B361" s="8">
        <v>2792</v>
      </c>
      <c r="C361" s="5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61" s="8">
        <v>1</v>
      </c>
      <c r="E361" s="8">
        <v>9</v>
      </c>
      <c r="F361" s="8">
        <v>1</v>
      </c>
      <c r="G361" s="6">
        <v>383730.97</v>
      </c>
    </row>
    <row r="362" spans="1:7" ht="15">
      <c r="A362" s="4">
        <v>45289</v>
      </c>
      <c r="B362" s="8">
        <v>2794</v>
      </c>
      <c r="C362" s="5" t="str">
        <f aca="true" t="shared" si="20" ref="C362:C370">"Доходы будущих периодов"</f>
        <v>Доходы будущих периодов</v>
      </c>
      <c r="D362" s="8">
        <v>1</v>
      </c>
      <c r="E362" s="8">
        <v>5</v>
      </c>
      <c r="F362" s="8">
        <v>1</v>
      </c>
      <c r="G362" s="6">
        <v>203976.52</v>
      </c>
    </row>
    <row r="363" spans="1:7" ht="15">
      <c r="A363" s="4">
        <v>45289</v>
      </c>
      <c r="B363" s="8">
        <v>2794</v>
      </c>
      <c r="C363" s="5" t="str">
        <f t="shared" si="20"/>
        <v>Доходы будущих периодов</v>
      </c>
      <c r="D363" s="8">
        <v>1</v>
      </c>
      <c r="E363" s="8">
        <v>6</v>
      </c>
      <c r="F363" s="8">
        <v>1</v>
      </c>
      <c r="G363" s="6">
        <v>7238.52</v>
      </c>
    </row>
    <row r="364" spans="1:7" ht="15">
      <c r="A364" s="4">
        <v>45289</v>
      </c>
      <c r="B364" s="8">
        <v>2794</v>
      </c>
      <c r="C364" s="5" t="str">
        <f t="shared" si="20"/>
        <v>Доходы будущих периодов</v>
      </c>
      <c r="D364" s="8">
        <v>1</v>
      </c>
      <c r="E364" s="8">
        <v>7</v>
      </c>
      <c r="F364" s="8">
        <v>1</v>
      </c>
      <c r="G364" s="6">
        <v>88273532.63</v>
      </c>
    </row>
    <row r="365" spans="1:7" ht="15">
      <c r="A365" s="4">
        <v>45289</v>
      </c>
      <c r="B365" s="8">
        <v>2794</v>
      </c>
      <c r="C365" s="5" t="str">
        <f t="shared" si="20"/>
        <v>Доходы будущих периодов</v>
      </c>
      <c r="D365" s="8">
        <v>1</v>
      </c>
      <c r="E365" s="8">
        <v>7</v>
      </c>
      <c r="F365" s="8">
        <v>3</v>
      </c>
      <c r="G365" s="6">
        <v>24479.36</v>
      </c>
    </row>
    <row r="366" spans="1:7" ht="15">
      <c r="A366" s="4">
        <v>45289</v>
      </c>
      <c r="B366" s="8">
        <v>2794</v>
      </c>
      <c r="C366" s="5" t="str">
        <f t="shared" si="20"/>
        <v>Доходы будущих периодов</v>
      </c>
      <c r="D366" s="8">
        <v>1</v>
      </c>
      <c r="E366" s="8">
        <v>8</v>
      </c>
      <c r="F366" s="8">
        <v>1</v>
      </c>
      <c r="G366" s="6">
        <v>108904.28</v>
      </c>
    </row>
    <row r="367" spans="1:7" ht="15">
      <c r="A367" s="4">
        <v>45289</v>
      </c>
      <c r="B367" s="8">
        <v>2794</v>
      </c>
      <c r="C367" s="5" t="str">
        <f t="shared" si="20"/>
        <v>Доходы будущих периодов</v>
      </c>
      <c r="D367" s="8">
        <v>1</v>
      </c>
      <c r="E367" s="8">
        <v>9</v>
      </c>
      <c r="F367" s="8">
        <v>1</v>
      </c>
      <c r="G367" s="6">
        <v>13179197542.56</v>
      </c>
    </row>
    <row r="368" spans="1:7" ht="15">
      <c r="A368" s="4">
        <v>45289</v>
      </c>
      <c r="B368" s="8">
        <v>2794</v>
      </c>
      <c r="C368" s="5" t="str">
        <f t="shared" si="20"/>
        <v>Доходы будущих периодов</v>
      </c>
      <c r="D368" s="8">
        <v>1</v>
      </c>
      <c r="E368" s="8">
        <v>9</v>
      </c>
      <c r="F368" s="8">
        <v>3</v>
      </c>
      <c r="G368" s="6">
        <v>59263.72</v>
      </c>
    </row>
    <row r="369" spans="1:7" ht="15">
      <c r="A369" s="4">
        <v>45289</v>
      </c>
      <c r="B369" s="8">
        <v>2794</v>
      </c>
      <c r="C369" s="5" t="str">
        <f t="shared" si="20"/>
        <v>Доходы будущих периодов</v>
      </c>
      <c r="D369" s="8">
        <v>2</v>
      </c>
      <c r="E369" s="8">
        <v>7</v>
      </c>
      <c r="F369" s="8">
        <v>1</v>
      </c>
      <c r="G369" s="6">
        <v>12925.68</v>
      </c>
    </row>
    <row r="370" spans="1:7" ht="15">
      <c r="A370" s="4">
        <v>45289</v>
      </c>
      <c r="B370" s="8">
        <v>2794</v>
      </c>
      <c r="C370" s="5" t="str">
        <f t="shared" si="20"/>
        <v>Доходы будущих периодов</v>
      </c>
      <c r="D370" s="8">
        <v>2</v>
      </c>
      <c r="E370" s="8">
        <v>9</v>
      </c>
      <c r="F370" s="8">
        <v>1</v>
      </c>
      <c r="G370" s="6">
        <v>9461.4</v>
      </c>
    </row>
    <row r="371" spans="1:7" ht="15">
      <c r="A371" s="4">
        <v>45289</v>
      </c>
      <c r="B371" s="8">
        <v>2799</v>
      </c>
      <c r="C371" s="5" t="str">
        <f aca="true" t="shared" si="21" ref="C371:C376">"Прочие предоплаты"</f>
        <v>Прочие предоплаты</v>
      </c>
      <c r="D371" s="8">
        <v>1</v>
      </c>
      <c r="E371" s="8">
        <v>5</v>
      </c>
      <c r="F371" s="8">
        <v>1</v>
      </c>
      <c r="G371" s="6">
        <v>32794.53</v>
      </c>
    </row>
    <row r="372" spans="1:7" ht="15">
      <c r="A372" s="4">
        <v>45289</v>
      </c>
      <c r="B372" s="8">
        <v>2799</v>
      </c>
      <c r="C372" s="5" t="str">
        <f t="shared" si="21"/>
        <v>Прочие предоплаты</v>
      </c>
      <c r="D372" s="8">
        <v>1</v>
      </c>
      <c r="E372" s="8">
        <v>6</v>
      </c>
      <c r="F372" s="8">
        <v>1</v>
      </c>
      <c r="G372" s="6">
        <v>21068.85</v>
      </c>
    </row>
    <row r="373" spans="1:7" ht="15">
      <c r="A373" s="4">
        <v>45289</v>
      </c>
      <c r="B373" s="8">
        <v>2799</v>
      </c>
      <c r="C373" s="5" t="str">
        <f t="shared" si="21"/>
        <v>Прочие предоплаты</v>
      </c>
      <c r="D373" s="8">
        <v>1</v>
      </c>
      <c r="E373" s="8">
        <v>7</v>
      </c>
      <c r="F373" s="8">
        <v>1</v>
      </c>
      <c r="G373" s="6">
        <v>186422.21</v>
      </c>
    </row>
    <row r="374" spans="1:7" ht="15">
      <c r="A374" s="4">
        <v>45289</v>
      </c>
      <c r="B374" s="8">
        <v>2799</v>
      </c>
      <c r="C374" s="5" t="str">
        <f t="shared" si="21"/>
        <v>Прочие предоплаты</v>
      </c>
      <c r="D374" s="8">
        <v>1</v>
      </c>
      <c r="E374" s="8">
        <v>8</v>
      </c>
      <c r="F374" s="8">
        <v>1</v>
      </c>
      <c r="G374" s="6">
        <v>5346.22</v>
      </c>
    </row>
    <row r="375" spans="1:7" ht="15">
      <c r="A375" s="4">
        <v>45289</v>
      </c>
      <c r="B375" s="8">
        <v>2799</v>
      </c>
      <c r="C375" s="5" t="str">
        <f t="shared" si="21"/>
        <v>Прочие предоплаты</v>
      </c>
      <c r="D375" s="8">
        <v>1</v>
      </c>
      <c r="E375" s="8">
        <v>9</v>
      </c>
      <c r="F375" s="8">
        <v>1</v>
      </c>
      <c r="G375" s="6">
        <v>158523931.22</v>
      </c>
    </row>
    <row r="376" spans="1:7" ht="15">
      <c r="A376" s="4">
        <v>45289</v>
      </c>
      <c r="B376" s="8">
        <v>2799</v>
      </c>
      <c r="C376" s="5" t="str">
        <f t="shared" si="21"/>
        <v>Прочие предоплаты</v>
      </c>
      <c r="D376" s="8">
        <v>2</v>
      </c>
      <c r="E376" s="8">
        <v>9</v>
      </c>
      <c r="F376" s="8">
        <v>1</v>
      </c>
      <c r="G376" s="6">
        <v>3716561.73</v>
      </c>
    </row>
    <row r="377" spans="1:7" ht="15">
      <c r="A377" s="4">
        <v>45289</v>
      </c>
      <c r="B377" s="8">
        <v>2851</v>
      </c>
      <c r="C377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77" s="8">
        <v>1</v>
      </c>
      <c r="E377" s="8">
        <v>1</v>
      </c>
      <c r="F377" s="8">
        <v>1</v>
      </c>
      <c r="G377" s="6">
        <v>2538819724.21</v>
      </c>
    </row>
    <row r="378" spans="1:7" ht="15">
      <c r="A378" s="4">
        <v>45289</v>
      </c>
      <c r="B378" s="8">
        <v>2854</v>
      </c>
      <c r="C378" s="5" t="str">
        <f>"Расчеты с работниками"</f>
        <v>Расчеты с работниками</v>
      </c>
      <c r="D378" s="8"/>
      <c r="E378" s="8"/>
      <c r="F378" s="8"/>
      <c r="G378" s="6">
        <v>8608720221.64</v>
      </c>
    </row>
    <row r="379" spans="1:7" ht="15">
      <c r="A379" s="4">
        <v>45289</v>
      </c>
      <c r="B379" s="8">
        <v>2856</v>
      </c>
      <c r="C379" s="5" t="str">
        <f>"Кредиторы по капитальным вложениям"</f>
        <v>Кредиторы по капитальным вложениям</v>
      </c>
      <c r="D379" s="8">
        <v>1</v>
      </c>
      <c r="E379" s="8">
        <v>7</v>
      </c>
      <c r="F379" s="8">
        <v>1</v>
      </c>
      <c r="G379" s="6">
        <v>124071433.42</v>
      </c>
    </row>
    <row r="380" spans="1:7" ht="15">
      <c r="A380" s="4">
        <v>45289</v>
      </c>
      <c r="B380" s="8">
        <v>2860</v>
      </c>
      <c r="C380" s="5" t="str">
        <f aca="true" t="shared" si="22" ref="C380:C395">"Прочие кредиторы по банковской деятельности"</f>
        <v>Прочие кредиторы по банковской деятельности</v>
      </c>
      <c r="D380" s="8">
        <v>1</v>
      </c>
      <c r="E380" s="8">
        <v>1</v>
      </c>
      <c r="F380" s="8">
        <v>1</v>
      </c>
      <c r="G380" s="6">
        <v>14631473.98</v>
      </c>
    </row>
    <row r="381" spans="1:7" ht="15">
      <c r="A381" s="4">
        <v>45289</v>
      </c>
      <c r="B381" s="8">
        <v>2860</v>
      </c>
      <c r="C381" s="5" t="str">
        <f t="shared" si="22"/>
        <v>Прочие кредиторы по банковской деятельности</v>
      </c>
      <c r="D381" s="8">
        <v>1</v>
      </c>
      <c r="E381" s="8">
        <v>4</v>
      </c>
      <c r="F381" s="8">
        <v>1</v>
      </c>
      <c r="G381" s="6">
        <v>3758939994.43</v>
      </c>
    </row>
    <row r="382" spans="1:7" ht="15">
      <c r="A382" s="4">
        <v>45289</v>
      </c>
      <c r="B382" s="8">
        <v>2860</v>
      </c>
      <c r="C382" s="5" t="str">
        <f t="shared" si="22"/>
        <v>Прочие кредиторы по банковской деятельности</v>
      </c>
      <c r="D382" s="8">
        <v>1</v>
      </c>
      <c r="E382" s="8">
        <v>4</v>
      </c>
      <c r="F382" s="8">
        <v>2</v>
      </c>
      <c r="G382" s="6">
        <v>24564183.6</v>
      </c>
    </row>
    <row r="383" spans="1:7" ht="15">
      <c r="A383" s="4">
        <v>45289</v>
      </c>
      <c r="B383" s="8">
        <v>2860</v>
      </c>
      <c r="C383" s="5" t="str">
        <f t="shared" si="22"/>
        <v>Прочие кредиторы по банковской деятельности</v>
      </c>
      <c r="D383" s="8">
        <v>1</v>
      </c>
      <c r="E383" s="8">
        <v>4</v>
      </c>
      <c r="F383" s="8">
        <v>3</v>
      </c>
      <c r="G383" s="6">
        <v>2704575.28</v>
      </c>
    </row>
    <row r="384" spans="1:7" ht="15">
      <c r="A384" s="4">
        <v>45289</v>
      </c>
      <c r="B384" s="8">
        <v>2860</v>
      </c>
      <c r="C384" s="5" t="str">
        <f t="shared" si="22"/>
        <v>Прочие кредиторы по банковской деятельности</v>
      </c>
      <c r="D384" s="8">
        <v>1</v>
      </c>
      <c r="E384" s="8">
        <v>5</v>
      </c>
      <c r="F384" s="8">
        <v>1</v>
      </c>
      <c r="G384" s="6">
        <v>786920731.82</v>
      </c>
    </row>
    <row r="385" spans="1:7" ht="15">
      <c r="A385" s="4">
        <v>45289</v>
      </c>
      <c r="B385" s="8">
        <v>2860</v>
      </c>
      <c r="C385" s="5" t="str">
        <f t="shared" si="22"/>
        <v>Прочие кредиторы по банковской деятельности</v>
      </c>
      <c r="D385" s="8">
        <v>1</v>
      </c>
      <c r="E385" s="8">
        <v>6</v>
      </c>
      <c r="F385" s="8">
        <v>1</v>
      </c>
      <c r="G385" s="6">
        <v>769664.39</v>
      </c>
    </row>
    <row r="386" spans="1:7" ht="15">
      <c r="A386" s="4">
        <v>45289</v>
      </c>
      <c r="B386" s="8">
        <v>2860</v>
      </c>
      <c r="C386" s="5" t="str">
        <f t="shared" si="22"/>
        <v>Прочие кредиторы по банковской деятельности</v>
      </c>
      <c r="D386" s="8">
        <v>1</v>
      </c>
      <c r="E386" s="8">
        <v>7</v>
      </c>
      <c r="F386" s="8">
        <v>1</v>
      </c>
      <c r="G386" s="6">
        <v>23082995.34</v>
      </c>
    </row>
    <row r="387" spans="1:7" ht="15">
      <c r="A387" s="4">
        <v>45289</v>
      </c>
      <c r="B387" s="8">
        <v>2860</v>
      </c>
      <c r="C387" s="5" t="str">
        <f t="shared" si="22"/>
        <v>Прочие кредиторы по банковской деятельности</v>
      </c>
      <c r="D387" s="8">
        <v>1</v>
      </c>
      <c r="E387" s="8">
        <v>9</v>
      </c>
      <c r="F387" s="8">
        <v>1</v>
      </c>
      <c r="G387" s="6">
        <v>271634622.33</v>
      </c>
    </row>
    <row r="388" spans="1:7" ht="15">
      <c r="A388" s="4">
        <v>45289</v>
      </c>
      <c r="B388" s="8">
        <v>2860</v>
      </c>
      <c r="C388" s="5" t="str">
        <f t="shared" si="22"/>
        <v>Прочие кредиторы по банковской деятельности</v>
      </c>
      <c r="D388" s="8">
        <v>1</v>
      </c>
      <c r="E388" s="8">
        <v>9</v>
      </c>
      <c r="F388" s="8">
        <v>2</v>
      </c>
      <c r="G388" s="6">
        <v>103004187.86</v>
      </c>
    </row>
    <row r="389" spans="1:7" ht="15">
      <c r="A389" s="4">
        <v>45289</v>
      </c>
      <c r="B389" s="8">
        <v>2860</v>
      </c>
      <c r="C389" s="5" t="str">
        <f t="shared" si="22"/>
        <v>Прочие кредиторы по банковской деятельности</v>
      </c>
      <c r="D389" s="8">
        <v>1</v>
      </c>
      <c r="E389" s="8">
        <v>9</v>
      </c>
      <c r="F389" s="8">
        <v>3</v>
      </c>
      <c r="G389" s="6">
        <v>8613224.24</v>
      </c>
    </row>
    <row r="390" spans="1:7" ht="15">
      <c r="A390" s="4">
        <v>45289</v>
      </c>
      <c r="B390" s="8">
        <v>2860</v>
      </c>
      <c r="C390" s="5" t="str">
        <f t="shared" si="22"/>
        <v>Прочие кредиторы по банковской деятельности</v>
      </c>
      <c r="D390" s="8">
        <v>2</v>
      </c>
      <c r="E390" s="8">
        <v>5</v>
      </c>
      <c r="F390" s="8">
        <v>2</v>
      </c>
      <c r="G390" s="6">
        <v>251120000</v>
      </c>
    </row>
    <row r="391" spans="1:7" ht="15">
      <c r="A391" s="4">
        <v>45289</v>
      </c>
      <c r="B391" s="8">
        <v>2860</v>
      </c>
      <c r="C391" s="5" t="str">
        <f t="shared" si="22"/>
        <v>Прочие кредиторы по банковской деятельности</v>
      </c>
      <c r="D391" s="8">
        <v>2</v>
      </c>
      <c r="E391" s="8">
        <v>5</v>
      </c>
      <c r="F391" s="8">
        <v>3</v>
      </c>
      <c r="G391" s="6">
        <v>15180000</v>
      </c>
    </row>
    <row r="392" spans="1:7" ht="15">
      <c r="A392" s="4">
        <v>45289</v>
      </c>
      <c r="B392" s="8">
        <v>2860</v>
      </c>
      <c r="C392" s="5" t="str">
        <f t="shared" si="22"/>
        <v>Прочие кредиторы по банковской деятельности</v>
      </c>
      <c r="D392" s="8">
        <v>2</v>
      </c>
      <c r="E392" s="8">
        <v>6</v>
      </c>
      <c r="F392" s="8">
        <v>3</v>
      </c>
      <c r="G392" s="6">
        <v>7084</v>
      </c>
    </row>
    <row r="393" spans="1:7" ht="15">
      <c r="A393" s="4">
        <v>45289</v>
      </c>
      <c r="B393" s="8">
        <v>2860</v>
      </c>
      <c r="C393" s="5" t="str">
        <f t="shared" si="22"/>
        <v>Прочие кредиторы по банковской деятельности</v>
      </c>
      <c r="D393" s="8">
        <v>2</v>
      </c>
      <c r="E393" s="8">
        <v>9</v>
      </c>
      <c r="F393" s="8">
        <v>1</v>
      </c>
      <c r="G393" s="6">
        <v>5867023.35</v>
      </c>
    </row>
    <row r="394" spans="1:7" ht="15">
      <c r="A394" s="4">
        <v>45289</v>
      </c>
      <c r="B394" s="8">
        <v>2860</v>
      </c>
      <c r="C394" s="5" t="str">
        <f t="shared" si="22"/>
        <v>Прочие кредиторы по банковской деятельности</v>
      </c>
      <c r="D394" s="8">
        <v>2</v>
      </c>
      <c r="E394" s="8">
        <v>9</v>
      </c>
      <c r="F394" s="8">
        <v>2</v>
      </c>
      <c r="G394" s="6">
        <v>1564581.47</v>
      </c>
    </row>
    <row r="395" spans="1:7" ht="15">
      <c r="A395" s="4">
        <v>45289</v>
      </c>
      <c r="B395" s="8">
        <v>2860</v>
      </c>
      <c r="C395" s="5" t="str">
        <f t="shared" si="22"/>
        <v>Прочие кредиторы по банковской деятельности</v>
      </c>
      <c r="D395" s="8">
        <v>2</v>
      </c>
      <c r="E395" s="8">
        <v>9</v>
      </c>
      <c r="F395" s="8">
        <v>3</v>
      </c>
      <c r="G395" s="6">
        <v>94095.35</v>
      </c>
    </row>
    <row r="396" spans="1:7" ht="15">
      <c r="A396" s="4">
        <v>45289</v>
      </c>
      <c r="B396" s="8">
        <v>2861</v>
      </c>
      <c r="C396" s="5" t="str">
        <f>"Резерв на отпускные выплаты"</f>
        <v>Резерв на отпускные выплаты</v>
      </c>
      <c r="D396" s="8"/>
      <c r="E396" s="8"/>
      <c r="F396" s="8"/>
      <c r="G396" s="6">
        <v>3232599812.2</v>
      </c>
    </row>
    <row r="397" spans="1:7" ht="15">
      <c r="A397" s="4">
        <v>45289</v>
      </c>
      <c r="B397" s="8">
        <v>2867</v>
      </c>
      <c r="C397" s="5" t="str">
        <f>"Прочие кредиторы по неосновной деятельности"</f>
        <v>Прочие кредиторы по неосновной деятельности</v>
      </c>
      <c r="D397" s="8">
        <v>1</v>
      </c>
      <c r="E397" s="8">
        <v>7</v>
      </c>
      <c r="F397" s="8">
        <v>1</v>
      </c>
      <c r="G397" s="6">
        <v>16815313.16</v>
      </c>
    </row>
    <row r="398" spans="1:7" ht="15">
      <c r="A398" s="4">
        <v>45289</v>
      </c>
      <c r="B398" s="8">
        <v>2867</v>
      </c>
      <c r="C398" s="5" t="str">
        <f>"Прочие кредиторы по неосновной деятельности"</f>
        <v>Прочие кредиторы по неосновной деятельности</v>
      </c>
      <c r="D398" s="8">
        <v>1</v>
      </c>
      <c r="E398" s="8">
        <v>9</v>
      </c>
      <c r="F398" s="8">
        <v>1</v>
      </c>
      <c r="G398" s="6">
        <v>356850.18</v>
      </c>
    </row>
    <row r="399" spans="1:7" ht="15">
      <c r="A399" s="4">
        <v>45289</v>
      </c>
      <c r="B399" s="8">
        <v>2867</v>
      </c>
      <c r="C399" s="5" t="str">
        <f>"Прочие кредиторы по неосновной деятельности"</f>
        <v>Прочие кредиторы по неосновной деятельности</v>
      </c>
      <c r="D399" s="8">
        <v>2</v>
      </c>
      <c r="E399" s="8">
        <v>7</v>
      </c>
      <c r="F399" s="8">
        <v>1</v>
      </c>
      <c r="G399" s="6">
        <v>3297962.8</v>
      </c>
    </row>
    <row r="400" spans="1:7" ht="15">
      <c r="A400" s="4">
        <v>45289</v>
      </c>
      <c r="B400" s="8">
        <v>2869</v>
      </c>
      <c r="C400" s="5" t="str">
        <f aca="true" t="shared" si="23" ref="C400:C406">"Выданные гарантии"</f>
        <v>Выданные гарантии</v>
      </c>
      <c r="D400" s="8">
        <v>1</v>
      </c>
      <c r="E400" s="8">
        <v>7</v>
      </c>
      <c r="F400" s="8">
        <v>1</v>
      </c>
      <c r="G400" s="6">
        <v>1661080913.25</v>
      </c>
    </row>
    <row r="401" spans="1:7" ht="15">
      <c r="A401" s="4">
        <v>45289</v>
      </c>
      <c r="B401" s="8">
        <v>2869</v>
      </c>
      <c r="C401" s="5" t="str">
        <f t="shared" si="23"/>
        <v>Выданные гарантии</v>
      </c>
      <c r="D401" s="8">
        <v>1</v>
      </c>
      <c r="E401" s="8">
        <v>7</v>
      </c>
      <c r="F401" s="8">
        <v>2</v>
      </c>
      <c r="G401" s="6">
        <v>18321268.08</v>
      </c>
    </row>
    <row r="402" spans="1:7" ht="15">
      <c r="A402" s="4">
        <v>45289</v>
      </c>
      <c r="B402" s="8">
        <v>2869</v>
      </c>
      <c r="C402" s="5" t="str">
        <f t="shared" si="23"/>
        <v>Выданные гарантии</v>
      </c>
      <c r="D402" s="8">
        <v>1</v>
      </c>
      <c r="E402" s="8">
        <v>7</v>
      </c>
      <c r="F402" s="8">
        <v>3</v>
      </c>
      <c r="G402" s="6">
        <v>208472</v>
      </c>
    </row>
    <row r="403" spans="1:7" ht="15">
      <c r="A403" s="4">
        <v>45289</v>
      </c>
      <c r="B403" s="8">
        <v>2869</v>
      </c>
      <c r="C403" s="5" t="str">
        <f t="shared" si="23"/>
        <v>Выданные гарантии</v>
      </c>
      <c r="D403" s="8">
        <v>1</v>
      </c>
      <c r="E403" s="8">
        <v>8</v>
      </c>
      <c r="F403" s="8">
        <v>1</v>
      </c>
      <c r="G403" s="6">
        <v>17647.06</v>
      </c>
    </row>
    <row r="404" spans="1:7" ht="15">
      <c r="A404" s="4">
        <v>45289</v>
      </c>
      <c r="B404" s="8">
        <v>2869</v>
      </c>
      <c r="C404" s="5" t="str">
        <f t="shared" si="23"/>
        <v>Выданные гарантии</v>
      </c>
      <c r="D404" s="8">
        <v>1</v>
      </c>
      <c r="E404" s="8">
        <v>9</v>
      </c>
      <c r="F404" s="8">
        <v>1</v>
      </c>
      <c r="G404" s="6">
        <v>4134538.94</v>
      </c>
    </row>
    <row r="405" spans="1:7" ht="15">
      <c r="A405" s="4">
        <v>45289</v>
      </c>
      <c r="B405" s="8">
        <v>2869</v>
      </c>
      <c r="C405" s="5" t="str">
        <f t="shared" si="23"/>
        <v>Выданные гарантии</v>
      </c>
      <c r="D405" s="8">
        <v>1</v>
      </c>
      <c r="E405" s="8">
        <v>9</v>
      </c>
      <c r="F405" s="8">
        <v>3</v>
      </c>
      <c r="G405" s="6">
        <v>11612.7</v>
      </c>
    </row>
    <row r="406" spans="1:7" ht="15">
      <c r="A406" s="4">
        <v>45289</v>
      </c>
      <c r="B406" s="8">
        <v>2869</v>
      </c>
      <c r="C406" s="5" t="str">
        <f t="shared" si="23"/>
        <v>Выданные гарантии</v>
      </c>
      <c r="D406" s="8">
        <v>2</v>
      </c>
      <c r="E406" s="8">
        <v>7</v>
      </c>
      <c r="F406" s="8">
        <v>1</v>
      </c>
      <c r="G406" s="6">
        <v>191988.32</v>
      </c>
    </row>
    <row r="407" spans="1:7" ht="15">
      <c r="A407" s="4">
        <v>45289</v>
      </c>
      <c r="B407" s="8">
        <v>2870</v>
      </c>
      <c r="C407" s="5" t="str">
        <f aca="true" t="shared" si="24" ref="C407:C417">"Прочие транзитные счета"</f>
        <v>Прочие транзитные счета</v>
      </c>
      <c r="D407" s="8">
        <v>1</v>
      </c>
      <c r="E407" s="8">
        <v>1</v>
      </c>
      <c r="F407" s="8">
        <v>1</v>
      </c>
      <c r="G407" s="6">
        <v>14845607.23</v>
      </c>
    </row>
    <row r="408" spans="1:7" ht="15">
      <c r="A408" s="4">
        <v>45289</v>
      </c>
      <c r="B408" s="8">
        <v>2870</v>
      </c>
      <c r="C408" s="5" t="str">
        <f t="shared" si="24"/>
        <v>Прочие транзитные счета</v>
      </c>
      <c r="D408" s="8">
        <v>1</v>
      </c>
      <c r="E408" s="8">
        <v>4</v>
      </c>
      <c r="F408" s="8">
        <v>1</v>
      </c>
      <c r="G408" s="6">
        <v>2053942270.06</v>
      </c>
    </row>
    <row r="409" spans="1:7" ht="15">
      <c r="A409" s="4">
        <v>45289</v>
      </c>
      <c r="B409" s="8">
        <v>2870</v>
      </c>
      <c r="C409" s="5" t="str">
        <f t="shared" si="24"/>
        <v>Прочие транзитные счета</v>
      </c>
      <c r="D409" s="8">
        <v>1</v>
      </c>
      <c r="E409" s="8">
        <v>4</v>
      </c>
      <c r="F409" s="8">
        <v>2</v>
      </c>
      <c r="G409" s="6">
        <v>8029567.44</v>
      </c>
    </row>
    <row r="410" spans="1:7" ht="15">
      <c r="A410" s="4">
        <v>45289</v>
      </c>
      <c r="B410" s="8">
        <v>2870</v>
      </c>
      <c r="C410" s="5" t="str">
        <f t="shared" si="24"/>
        <v>Прочие транзитные счета</v>
      </c>
      <c r="D410" s="8">
        <v>1</v>
      </c>
      <c r="E410" s="8">
        <v>4</v>
      </c>
      <c r="F410" s="8">
        <v>3</v>
      </c>
      <c r="G410" s="6">
        <v>101801927.33</v>
      </c>
    </row>
    <row r="411" spans="1:7" ht="15">
      <c r="A411" s="4">
        <v>45289</v>
      </c>
      <c r="B411" s="8">
        <v>2870</v>
      </c>
      <c r="C411" s="5" t="str">
        <f t="shared" si="24"/>
        <v>Прочие транзитные счета</v>
      </c>
      <c r="D411" s="8">
        <v>1</v>
      </c>
      <c r="E411" s="8">
        <v>5</v>
      </c>
      <c r="F411" s="8">
        <v>1</v>
      </c>
      <c r="G411" s="6">
        <v>3905056.26</v>
      </c>
    </row>
    <row r="412" spans="1:7" ht="15">
      <c r="A412" s="4">
        <v>45289</v>
      </c>
      <c r="B412" s="8">
        <v>2870</v>
      </c>
      <c r="C412" s="5" t="str">
        <f t="shared" si="24"/>
        <v>Прочие транзитные счета</v>
      </c>
      <c r="D412" s="8">
        <v>1</v>
      </c>
      <c r="E412" s="8">
        <v>6</v>
      </c>
      <c r="F412" s="8">
        <v>1</v>
      </c>
      <c r="G412" s="6">
        <v>977850</v>
      </c>
    </row>
    <row r="413" spans="1:7" ht="15">
      <c r="A413" s="4">
        <v>45289</v>
      </c>
      <c r="B413" s="8">
        <v>2870</v>
      </c>
      <c r="C413" s="5" t="str">
        <f t="shared" si="24"/>
        <v>Прочие транзитные счета</v>
      </c>
      <c r="D413" s="8">
        <v>1</v>
      </c>
      <c r="E413" s="8">
        <v>7</v>
      </c>
      <c r="F413" s="8">
        <v>1</v>
      </c>
      <c r="G413" s="6">
        <v>193805883.75</v>
      </c>
    </row>
    <row r="414" spans="1:7" ht="15">
      <c r="A414" s="4">
        <v>45289</v>
      </c>
      <c r="B414" s="8">
        <v>2870</v>
      </c>
      <c r="C414" s="5" t="str">
        <f t="shared" si="24"/>
        <v>Прочие транзитные счета</v>
      </c>
      <c r="D414" s="8">
        <v>1</v>
      </c>
      <c r="E414" s="8">
        <v>9</v>
      </c>
      <c r="F414" s="8">
        <v>1</v>
      </c>
      <c r="G414" s="6">
        <v>681875371.02</v>
      </c>
    </row>
    <row r="415" spans="1:7" ht="15">
      <c r="A415" s="4">
        <v>45289</v>
      </c>
      <c r="B415" s="8">
        <v>2870</v>
      </c>
      <c r="C415" s="5" t="str">
        <f t="shared" si="24"/>
        <v>Прочие транзитные счета</v>
      </c>
      <c r="D415" s="8">
        <v>1</v>
      </c>
      <c r="E415" s="8">
        <v>9</v>
      </c>
      <c r="F415" s="8">
        <v>2</v>
      </c>
      <c r="G415" s="6">
        <v>500046288.26</v>
      </c>
    </row>
    <row r="416" spans="1:7" ht="15">
      <c r="A416" s="4">
        <v>45289</v>
      </c>
      <c r="B416" s="8">
        <v>2870</v>
      </c>
      <c r="C416" s="5" t="str">
        <f t="shared" si="24"/>
        <v>Прочие транзитные счета</v>
      </c>
      <c r="D416" s="8">
        <v>1</v>
      </c>
      <c r="E416" s="8">
        <v>9</v>
      </c>
      <c r="F416" s="8">
        <v>3</v>
      </c>
      <c r="G416" s="6">
        <v>497061694.38</v>
      </c>
    </row>
    <row r="417" spans="1:7" ht="15">
      <c r="A417" s="4">
        <v>45289</v>
      </c>
      <c r="B417" s="8">
        <v>2870</v>
      </c>
      <c r="C417" s="5" t="str">
        <f t="shared" si="24"/>
        <v>Прочие транзитные счета</v>
      </c>
      <c r="D417" s="8">
        <v>2</v>
      </c>
      <c r="E417" s="8">
        <v>9</v>
      </c>
      <c r="F417" s="8">
        <v>2</v>
      </c>
      <c r="G417" s="6">
        <v>33696952.61</v>
      </c>
    </row>
    <row r="418" spans="1:7" ht="15">
      <c r="A418" s="4">
        <v>45289</v>
      </c>
      <c r="B418" s="8">
        <v>2874</v>
      </c>
      <c r="C418" s="5" t="str">
        <f aca="true" t="shared" si="25" ref="C418:C423"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418" s="8">
        <v>1</v>
      </c>
      <c r="E418" s="8"/>
      <c r="F418" s="8">
        <v>1</v>
      </c>
      <c r="G418" s="6">
        <v>6801635.82</v>
      </c>
    </row>
    <row r="419" spans="1:7" ht="15">
      <c r="A419" s="4">
        <v>45289</v>
      </c>
      <c r="B419" s="8">
        <v>2874</v>
      </c>
      <c r="C419" s="5" t="str">
        <f t="shared" si="25"/>
        <v>Транзитные счета для переводов физических лиц без открытия счета</v>
      </c>
      <c r="D419" s="8">
        <v>1</v>
      </c>
      <c r="E419" s="8"/>
      <c r="F419" s="8">
        <v>2</v>
      </c>
      <c r="G419" s="6">
        <v>16320214.88</v>
      </c>
    </row>
    <row r="420" spans="1:7" ht="15">
      <c r="A420" s="4">
        <v>45289</v>
      </c>
      <c r="B420" s="8">
        <v>2874</v>
      </c>
      <c r="C420" s="5" t="str">
        <f t="shared" si="25"/>
        <v>Транзитные счета для переводов физических лиц без открытия счета</v>
      </c>
      <c r="D420" s="8">
        <v>1</v>
      </c>
      <c r="E420" s="8"/>
      <c r="F420" s="8">
        <v>3</v>
      </c>
      <c r="G420" s="6">
        <v>9393795.93</v>
      </c>
    </row>
    <row r="421" spans="1:7" ht="15">
      <c r="A421" s="4">
        <v>45289</v>
      </c>
      <c r="B421" s="8">
        <v>2874</v>
      </c>
      <c r="C421" s="5" t="str">
        <f t="shared" si="25"/>
        <v>Транзитные счета для переводов физических лиц без открытия счета</v>
      </c>
      <c r="D421" s="8">
        <v>2</v>
      </c>
      <c r="E421" s="8"/>
      <c r="F421" s="8">
        <v>1</v>
      </c>
      <c r="G421" s="6">
        <v>6154923.35</v>
      </c>
    </row>
    <row r="422" spans="1:7" ht="15">
      <c r="A422" s="4">
        <v>45289</v>
      </c>
      <c r="B422" s="8">
        <v>2874</v>
      </c>
      <c r="C422" s="5" t="str">
        <f t="shared" si="25"/>
        <v>Транзитные счета для переводов физических лиц без открытия счета</v>
      </c>
      <c r="D422" s="8">
        <v>2</v>
      </c>
      <c r="E422" s="8"/>
      <c r="F422" s="8">
        <v>2</v>
      </c>
      <c r="G422" s="6">
        <v>464705.78</v>
      </c>
    </row>
    <row r="423" spans="1:7" ht="15">
      <c r="A423" s="4">
        <v>45289</v>
      </c>
      <c r="B423" s="8">
        <v>2874</v>
      </c>
      <c r="C423" s="5" t="str">
        <f t="shared" si="25"/>
        <v>Транзитные счета для переводов физических лиц без открытия счета</v>
      </c>
      <c r="D423" s="8">
        <v>2</v>
      </c>
      <c r="E423" s="8"/>
      <c r="F423" s="8">
        <v>3</v>
      </c>
      <c r="G423" s="6">
        <v>80494.48</v>
      </c>
    </row>
    <row r="424" spans="1:7" ht="15">
      <c r="A424" s="4">
        <v>45289</v>
      </c>
      <c r="B424" s="8">
        <v>2875</v>
      </c>
      <c r="C424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4" s="8">
        <v>1</v>
      </c>
      <c r="E424" s="8">
        <v>5</v>
      </c>
      <c r="F424" s="8">
        <v>1</v>
      </c>
      <c r="G424" s="6">
        <v>53200000</v>
      </c>
    </row>
    <row r="425" spans="1:7" ht="15">
      <c r="A425" s="4">
        <v>45289</v>
      </c>
      <c r="B425" s="8">
        <v>2875</v>
      </c>
      <c r="C425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5" s="8">
        <v>1</v>
      </c>
      <c r="E425" s="8">
        <v>7</v>
      </c>
      <c r="F425" s="8">
        <v>1</v>
      </c>
      <c r="G425" s="6">
        <v>5182741602.48</v>
      </c>
    </row>
    <row r="426" spans="1:7" ht="15">
      <c r="A426" s="4">
        <v>45289</v>
      </c>
      <c r="B426" s="8">
        <v>2875</v>
      </c>
      <c r="C426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6" s="8">
        <v>1</v>
      </c>
      <c r="E426" s="8">
        <v>9</v>
      </c>
      <c r="F426" s="8">
        <v>1</v>
      </c>
      <c r="G426" s="6">
        <v>149365331.65</v>
      </c>
    </row>
    <row r="427" spans="1:7" ht="15">
      <c r="A427" s="4">
        <v>45289</v>
      </c>
      <c r="B427" s="8">
        <v>2875</v>
      </c>
      <c r="C427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7" s="8">
        <v>2</v>
      </c>
      <c r="E427" s="8">
        <v>9</v>
      </c>
      <c r="F427" s="8">
        <v>1</v>
      </c>
      <c r="G427" s="6">
        <v>0</v>
      </c>
    </row>
    <row r="428" spans="1:7" ht="15">
      <c r="A428" s="4">
        <v>45289</v>
      </c>
      <c r="B428" s="8">
        <v>2880</v>
      </c>
      <c r="C428" s="5" t="str">
        <f>"Обязательства по секьюритизируемым активам"</f>
        <v>Обязательства по секьюритизируемым активам</v>
      </c>
      <c r="D428" s="8">
        <v>1</v>
      </c>
      <c r="E428" s="8"/>
      <c r="F428" s="8">
        <v>1</v>
      </c>
      <c r="G428" s="6">
        <v>314076732572.44</v>
      </c>
    </row>
    <row r="429" spans="1:7" ht="15">
      <c r="A429" s="4">
        <v>45289</v>
      </c>
      <c r="B429" s="8">
        <v>2892</v>
      </c>
      <c r="C429" s="5" t="str">
        <f>"Обязательства по операциям форвард"</f>
        <v>Обязательства по операциям форвард</v>
      </c>
      <c r="D429" s="8">
        <v>2</v>
      </c>
      <c r="E429" s="8">
        <v>4</v>
      </c>
      <c r="F429" s="8">
        <v>2</v>
      </c>
      <c r="G429" s="6">
        <v>478574.4</v>
      </c>
    </row>
    <row r="430" spans="1:7" ht="15">
      <c r="A430" s="4">
        <v>45289</v>
      </c>
      <c r="B430" s="8">
        <v>2894</v>
      </c>
      <c r="C430" s="5" t="str">
        <f>"Обязательства по операциям спот"</f>
        <v>Обязательства по операциям спот</v>
      </c>
      <c r="D430" s="8">
        <v>1</v>
      </c>
      <c r="E430" s="8">
        <v>5</v>
      </c>
      <c r="F430" s="8">
        <v>1</v>
      </c>
      <c r="G430" s="6">
        <v>6572088000</v>
      </c>
    </row>
    <row r="431" spans="1:7" ht="15">
      <c r="A431" s="4">
        <v>45289</v>
      </c>
      <c r="B431" s="8">
        <v>3001</v>
      </c>
      <c r="C431" s="5" t="str">
        <f>"Уставный капитал – простые акции"</f>
        <v>Уставный капитал – простые акции</v>
      </c>
      <c r="D431" s="8"/>
      <c r="E431" s="8"/>
      <c r="F431" s="8"/>
      <c r="G431" s="6">
        <v>51500000932</v>
      </c>
    </row>
    <row r="432" spans="1:7" ht="15">
      <c r="A432" s="4">
        <v>45289</v>
      </c>
      <c r="B432" s="8">
        <v>3510</v>
      </c>
      <c r="C432" s="5" t="str">
        <f>"Резервный капитал"</f>
        <v>Резервный капитал</v>
      </c>
      <c r="D432" s="8"/>
      <c r="E432" s="8"/>
      <c r="F432" s="8"/>
      <c r="G432" s="6">
        <v>23893397000</v>
      </c>
    </row>
    <row r="433" spans="1:7" ht="15">
      <c r="A433" s="4">
        <v>45289</v>
      </c>
      <c r="B433" s="8">
        <v>3561</v>
      </c>
      <c r="C433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33" s="8">
        <v>1</v>
      </c>
      <c r="E433" s="8"/>
      <c r="F433" s="8">
        <v>1</v>
      </c>
      <c r="G433" s="6">
        <v>21688154.32</v>
      </c>
    </row>
    <row r="434" spans="1:7" ht="15">
      <c r="A434" s="4">
        <v>45289</v>
      </c>
      <c r="B434" s="8">
        <v>3561</v>
      </c>
      <c r="C434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34" s="8">
        <v>2</v>
      </c>
      <c r="E434" s="8"/>
      <c r="F434" s="8">
        <v>1</v>
      </c>
      <c r="G434" s="6">
        <v>-25002000</v>
      </c>
    </row>
    <row r="435" spans="1:7" ht="15">
      <c r="A435" s="4">
        <v>45289</v>
      </c>
      <c r="B435" s="8">
        <v>3562</v>
      </c>
      <c r="C435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35" s="8">
        <v>1</v>
      </c>
      <c r="E435" s="8"/>
      <c r="F435" s="8">
        <v>1</v>
      </c>
      <c r="G435" s="6">
        <v>11287392.13</v>
      </c>
    </row>
    <row r="436" spans="1:7" ht="15">
      <c r="A436" s="4">
        <v>45289</v>
      </c>
      <c r="B436" s="8">
        <v>3562</v>
      </c>
      <c r="C436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36" s="8">
        <v>2</v>
      </c>
      <c r="E436" s="8"/>
      <c r="F436" s="8">
        <v>1</v>
      </c>
      <c r="G436" s="6">
        <v>15911872</v>
      </c>
    </row>
    <row r="437" spans="1:7" ht="15">
      <c r="A437" s="4">
        <v>45289</v>
      </c>
      <c r="B437" s="8">
        <v>3580</v>
      </c>
      <c r="C437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437" s="8"/>
      <c r="E437" s="8"/>
      <c r="F437" s="8"/>
      <c r="G437" s="6">
        <v>58295808424.34</v>
      </c>
    </row>
    <row r="438" spans="1:7" ht="15">
      <c r="A438" s="4">
        <v>45289</v>
      </c>
      <c r="B438" s="8">
        <v>3599</v>
      </c>
      <c r="C438" s="5" t="str">
        <f>"Нераспределенная чистая прибыль (непокрытый убыток)"</f>
        <v>Нераспределенная чистая прибыль (непокрытый убыток)</v>
      </c>
      <c r="D438" s="8"/>
      <c r="E438" s="8"/>
      <c r="F438" s="8"/>
      <c r="G438" s="6">
        <v>26217116371.93</v>
      </c>
    </row>
    <row r="439" spans="1:7" ht="15">
      <c r="A439" s="4">
        <v>45289</v>
      </c>
      <c r="B439" s="8">
        <v>4052</v>
      </c>
      <c r="C439" s="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439" s="8"/>
      <c r="E439" s="8"/>
      <c r="F439" s="8"/>
      <c r="G439" s="6">
        <v>130132640.85</v>
      </c>
    </row>
    <row r="440" spans="1:7" ht="15">
      <c r="A440" s="4">
        <v>45289</v>
      </c>
      <c r="B440" s="8">
        <v>4101</v>
      </c>
      <c r="C440" s="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440" s="8"/>
      <c r="E440" s="8"/>
      <c r="F440" s="8"/>
      <c r="G440" s="6">
        <v>8564462499.99</v>
      </c>
    </row>
    <row r="441" spans="1:7" ht="15">
      <c r="A441" s="4">
        <v>45289</v>
      </c>
      <c r="B441" s="8">
        <v>4103</v>
      </c>
      <c r="C441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441" s="8"/>
      <c r="E441" s="8"/>
      <c r="F441" s="8"/>
      <c r="G441" s="6">
        <v>14210983193.18</v>
      </c>
    </row>
    <row r="442" spans="1:7" ht="15">
      <c r="A442" s="4">
        <v>45289</v>
      </c>
      <c r="B442" s="8">
        <v>4251</v>
      </c>
      <c r="C442" s="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442" s="8"/>
      <c r="E442" s="8"/>
      <c r="F442" s="8"/>
      <c r="G442" s="6">
        <v>583871973.7</v>
      </c>
    </row>
    <row r="443" spans="1:7" ht="15">
      <c r="A443" s="4">
        <v>45289</v>
      </c>
      <c r="B443" s="8">
        <v>4253</v>
      </c>
      <c r="C443" s="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443" s="8"/>
      <c r="E443" s="8"/>
      <c r="F443" s="8"/>
      <c r="G443" s="6">
        <v>945974700.41</v>
      </c>
    </row>
    <row r="444" spans="1:7" ht="15">
      <c r="A444" s="4">
        <v>45289</v>
      </c>
      <c r="B444" s="8">
        <v>4254</v>
      </c>
      <c r="C444" s="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D444" s="8"/>
      <c r="E444" s="8"/>
      <c r="F444" s="8"/>
      <c r="G444" s="6">
        <v>72840582.33</v>
      </c>
    </row>
    <row r="445" spans="1:7" ht="15">
      <c r="A445" s="4">
        <v>45289</v>
      </c>
      <c r="B445" s="8">
        <v>4265</v>
      </c>
      <c r="C445" s="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D445" s="8"/>
      <c r="E445" s="8"/>
      <c r="F445" s="8"/>
      <c r="G445" s="6">
        <v>13728352.31</v>
      </c>
    </row>
    <row r="446" spans="1:7" ht="15">
      <c r="A446" s="4">
        <v>45289</v>
      </c>
      <c r="B446" s="8">
        <v>4401</v>
      </c>
      <c r="C446" s="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446" s="8"/>
      <c r="E446" s="8"/>
      <c r="F446" s="8"/>
      <c r="G446" s="6">
        <v>99931103.16</v>
      </c>
    </row>
    <row r="447" spans="1:7" ht="15">
      <c r="A447" s="4">
        <v>45289</v>
      </c>
      <c r="B447" s="8">
        <v>4403</v>
      </c>
      <c r="C447" s="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447" s="8"/>
      <c r="E447" s="8"/>
      <c r="F447" s="8"/>
      <c r="G447" s="6">
        <v>314869056.58</v>
      </c>
    </row>
    <row r="448" spans="1:7" ht="15">
      <c r="A448" s="4">
        <v>45289</v>
      </c>
      <c r="B448" s="8">
        <v>4411</v>
      </c>
      <c r="C448" s="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448" s="8"/>
      <c r="E448" s="8"/>
      <c r="F448" s="8"/>
      <c r="G448" s="6">
        <v>30022058552.33</v>
      </c>
    </row>
    <row r="449" spans="1:7" ht="15">
      <c r="A449" s="4">
        <v>45289</v>
      </c>
      <c r="B449" s="8">
        <v>4417</v>
      </c>
      <c r="C449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449" s="8"/>
      <c r="E449" s="8"/>
      <c r="F449" s="8"/>
      <c r="G449" s="6">
        <v>150938353398.16</v>
      </c>
    </row>
    <row r="450" spans="1:7" ht="15">
      <c r="A450" s="4">
        <v>45289</v>
      </c>
      <c r="B450" s="8">
        <v>4424</v>
      </c>
      <c r="C450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450" s="8"/>
      <c r="E450" s="8"/>
      <c r="F450" s="8"/>
      <c r="G450" s="6">
        <v>3497504944.37</v>
      </c>
    </row>
    <row r="451" spans="1:7" ht="15">
      <c r="A451" s="4">
        <v>45289</v>
      </c>
      <c r="B451" s="8">
        <v>4429</v>
      </c>
      <c r="C451" s="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451" s="8"/>
      <c r="E451" s="8"/>
      <c r="F451" s="8"/>
      <c r="G451" s="6">
        <v>1116627784.62</v>
      </c>
    </row>
    <row r="452" spans="1:7" ht="15">
      <c r="A452" s="4">
        <v>45289</v>
      </c>
      <c r="B452" s="8">
        <v>4434</v>
      </c>
      <c r="C452" s="5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D452" s="8"/>
      <c r="E452" s="8"/>
      <c r="F452" s="8"/>
      <c r="G452" s="6">
        <v>3328769525.56</v>
      </c>
    </row>
    <row r="453" spans="1:7" ht="15">
      <c r="A453" s="4">
        <v>45289</v>
      </c>
      <c r="B453" s="8">
        <v>4452</v>
      </c>
      <c r="C453" s="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453" s="8"/>
      <c r="E453" s="8"/>
      <c r="F453" s="8"/>
      <c r="G453" s="6">
        <v>3406345565.72</v>
      </c>
    </row>
    <row r="454" spans="1:7" ht="15">
      <c r="A454" s="4">
        <v>45289</v>
      </c>
      <c r="B454" s="8">
        <v>4453</v>
      </c>
      <c r="C454" s="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454" s="8"/>
      <c r="E454" s="8"/>
      <c r="F454" s="8"/>
      <c r="G454" s="6">
        <v>22797215348.32</v>
      </c>
    </row>
    <row r="455" spans="1:7" ht="15">
      <c r="A455" s="4">
        <v>45289</v>
      </c>
      <c r="B455" s="8">
        <v>4465</v>
      </c>
      <c r="C455" s="5" t="str">
        <f>"Доходы по операциям «РЕПО» с ценными бумагами"</f>
        <v>Доходы по операциям «РЕПО» с ценными бумагами</v>
      </c>
      <c r="D455" s="8"/>
      <c r="E455" s="8"/>
      <c r="F455" s="8"/>
      <c r="G455" s="6">
        <v>17340660924.66</v>
      </c>
    </row>
    <row r="456" spans="1:7" ht="15">
      <c r="A456" s="4">
        <v>45289</v>
      </c>
      <c r="B456" s="8">
        <v>4510</v>
      </c>
      <c r="C456" s="5" t="str">
        <f>"Доходы по купле-продаже ценных бумаг"</f>
        <v>Доходы по купле-продаже ценных бумаг</v>
      </c>
      <c r="D456" s="8"/>
      <c r="E456" s="8"/>
      <c r="F456" s="8"/>
      <c r="G456" s="6">
        <v>281300000.01</v>
      </c>
    </row>
    <row r="457" spans="1:7" ht="15">
      <c r="A457" s="4">
        <v>45289</v>
      </c>
      <c r="B457" s="8">
        <v>4530</v>
      </c>
      <c r="C457" s="5" t="str">
        <f>"Доходы по купле-продаже иностранной валюты"</f>
        <v>Доходы по купле-продаже иностранной валюты</v>
      </c>
      <c r="D457" s="8"/>
      <c r="E457" s="8"/>
      <c r="F457" s="8"/>
      <c r="G457" s="6">
        <v>20934390740.63</v>
      </c>
    </row>
    <row r="458" spans="1:7" ht="15">
      <c r="A458" s="4">
        <v>45289</v>
      </c>
      <c r="B458" s="8">
        <v>4540</v>
      </c>
      <c r="C458" s="5" t="str">
        <f>"Доходы от продажи аффинированных драгоценных металлов"</f>
        <v>Доходы от продажи аффинированных драгоценных металлов</v>
      </c>
      <c r="D458" s="8"/>
      <c r="E458" s="8"/>
      <c r="F458" s="8"/>
      <c r="G458" s="6">
        <v>12363988.87</v>
      </c>
    </row>
    <row r="459" spans="1:7" ht="15">
      <c r="A459" s="4">
        <v>45289</v>
      </c>
      <c r="B459" s="8">
        <v>4593</v>
      </c>
      <c r="C459" s="5" t="str">
        <f>"Доходы от переоценки операций своп"</f>
        <v>Доходы от переоценки операций своп</v>
      </c>
      <c r="D459" s="8"/>
      <c r="E459" s="8"/>
      <c r="F459" s="8"/>
      <c r="G459" s="6">
        <v>38049000</v>
      </c>
    </row>
    <row r="460" spans="1:7" ht="15">
      <c r="A460" s="4">
        <v>45289</v>
      </c>
      <c r="B460" s="8">
        <v>4601</v>
      </c>
      <c r="C460" s="5" t="str">
        <f>"Комиссионные доходы за услуги по переводным операциям"</f>
        <v>Комиссионные доходы за услуги по переводным операциям</v>
      </c>
      <c r="D460" s="8"/>
      <c r="E460" s="8"/>
      <c r="F460" s="8"/>
      <c r="G460" s="6">
        <v>1038372789.84</v>
      </c>
    </row>
    <row r="461" spans="1:7" ht="15">
      <c r="A461" s="4">
        <v>45289</v>
      </c>
      <c r="B461" s="8">
        <v>4602</v>
      </c>
      <c r="C461" s="5" t="str">
        <f>"Комиссионные доходы за агентские услуги"</f>
        <v>Комиссионные доходы за агентские услуги</v>
      </c>
      <c r="D461" s="8"/>
      <c r="E461" s="8"/>
      <c r="F461" s="8"/>
      <c r="G461" s="6">
        <v>111515323.78</v>
      </c>
    </row>
    <row r="462" spans="1:7" ht="15">
      <c r="A462" s="4">
        <v>45289</v>
      </c>
      <c r="B462" s="8">
        <v>4604</v>
      </c>
      <c r="C462" s="5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462" s="8"/>
      <c r="E462" s="8"/>
      <c r="F462" s="8"/>
      <c r="G462" s="6">
        <v>253454528</v>
      </c>
    </row>
    <row r="463" spans="1:7" ht="15">
      <c r="A463" s="4">
        <v>45289</v>
      </c>
      <c r="B463" s="8">
        <v>4606</v>
      </c>
      <c r="C463" s="5" t="str">
        <f>"Комиссионные доходы за услуги по операциям с гарантиями"</f>
        <v>Комиссионные доходы за услуги по операциям с гарантиями</v>
      </c>
      <c r="D463" s="8"/>
      <c r="E463" s="8"/>
      <c r="F463" s="8"/>
      <c r="G463" s="6">
        <v>1148688941.27</v>
      </c>
    </row>
    <row r="464" spans="1:7" ht="15">
      <c r="A464" s="4">
        <v>45289</v>
      </c>
      <c r="B464" s="8">
        <v>4607</v>
      </c>
      <c r="C464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464" s="8"/>
      <c r="E464" s="8"/>
      <c r="F464" s="8"/>
      <c r="G464" s="6">
        <v>969057774.57</v>
      </c>
    </row>
    <row r="465" spans="1:7" ht="15">
      <c r="A465" s="4">
        <v>45289</v>
      </c>
      <c r="B465" s="8">
        <v>4608</v>
      </c>
      <c r="C465" s="5" t="str">
        <f>"Прочие комиссионные доходы"</f>
        <v>Прочие комиссионные доходы</v>
      </c>
      <c r="D465" s="8"/>
      <c r="E465" s="8"/>
      <c r="F465" s="8"/>
      <c r="G465" s="6">
        <v>3004299329.34</v>
      </c>
    </row>
    <row r="466" spans="1:7" ht="15">
      <c r="A466" s="4">
        <v>45289</v>
      </c>
      <c r="B466" s="8">
        <v>4609</v>
      </c>
      <c r="C466" s="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D466" s="8"/>
      <c r="E466" s="8"/>
      <c r="F466" s="8"/>
      <c r="G466" s="6">
        <v>37476183.64</v>
      </c>
    </row>
    <row r="467" spans="1:7" ht="15">
      <c r="A467" s="4">
        <v>45289</v>
      </c>
      <c r="B467" s="8">
        <v>4611</v>
      </c>
      <c r="C467" s="5" t="str">
        <f>"Комиссионные доходы за услуги по кассовым операциям"</f>
        <v>Комиссионные доходы за услуги по кассовым операциям</v>
      </c>
      <c r="D467" s="8"/>
      <c r="E467" s="8"/>
      <c r="F467" s="8"/>
      <c r="G467" s="6">
        <v>1452311606.85</v>
      </c>
    </row>
    <row r="468" spans="1:7" ht="15">
      <c r="A468" s="4">
        <v>45289</v>
      </c>
      <c r="B468" s="8">
        <v>4612</v>
      </c>
      <c r="C468" s="5" t="str">
        <f>"Комиссионные доходы по документарным расчетам"</f>
        <v>Комиссионные доходы по документарным расчетам</v>
      </c>
      <c r="D468" s="8"/>
      <c r="E468" s="8"/>
      <c r="F468" s="8"/>
      <c r="G468" s="6">
        <v>252426568.28</v>
      </c>
    </row>
    <row r="469" spans="1:7" ht="15">
      <c r="A469" s="4">
        <v>45289</v>
      </c>
      <c r="B469" s="8">
        <v>4615</v>
      </c>
      <c r="C469" s="5" t="str">
        <f>"Комиссионные доходы за услуги по инкассации"</f>
        <v>Комиссионные доходы за услуги по инкассации</v>
      </c>
      <c r="D469" s="8"/>
      <c r="E469" s="8"/>
      <c r="F469" s="8"/>
      <c r="G469" s="6">
        <v>132554512.62</v>
      </c>
    </row>
    <row r="470" spans="1:7" ht="15">
      <c r="A470" s="4">
        <v>45289</v>
      </c>
      <c r="B470" s="8">
        <v>4616</v>
      </c>
      <c r="C470" s="5" t="str">
        <f>"Комиссионные доходы за услуги по купле-продаже аффинированных драгоценных металлов"</f>
        <v>Комиссионные доходы за услуги по купле-продаже аффинированных драгоценных металлов</v>
      </c>
      <c r="D470" s="8"/>
      <c r="E470" s="8"/>
      <c r="F470" s="8"/>
      <c r="G470" s="6">
        <v>440269.29</v>
      </c>
    </row>
    <row r="471" spans="1:7" ht="15">
      <c r="A471" s="4">
        <v>45289</v>
      </c>
      <c r="B471" s="8">
        <v>4617</v>
      </c>
      <c r="C471" s="5" t="str">
        <f>"Комиссионные доходы за услуги по сейфовым операциям"</f>
        <v>Комиссионные доходы за услуги по сейфовым операциям</v>
      </c>
      <c r="D471" s="8"/>
      <c r="E471" s="8"/>
      <c r="F471" s="8"/>
      <c r="G471" s="6">
        <v>106563804.38</v>
      </c>
    </row>
    <row r="472" spans="1:7" ht="15">
      <c r="A472" s="4">
        <v>45289</v>
      </c>
      <c r="B472" s="8">
        <v>4619</v>
      </c>
      <c r="C472" s="5" t="str">
        <f>"Комиссионные доходы за обслуживание платежных карточек"</f>
        <v>Комиссионные доходы за обслуживание платежных карточек</v>
      </c>
      <c r="D472" s="8"/>
      <c r="E472" s="8"/>
      <c r="F472" s="8"/>
      <c r="G472" s="6">
        <v>1303402215.14</v>
      </c>
    </row>
    <row r="473" spans="1:7" ht="15">
      <c r="A473" s="4">
        <v>45289</v>
      </c>
      <c r="B473" s="8">
        <v>4703</v>
      </c>
      <c r="C473" s="5" t="str">
        <f>"Доход от переоценки иностранной валюты"</f>
        <v>Доход от переоценки иностранной валюты</v>
      </c>
      <c r="D473" s="8"/>
      <c r="E473" s="8"/>
      <c r="F473" s="8"/>
      <c r="G473" s="6">
        <v>22303205514683.5</v>
      </c>
    </row>
    <row r="474" spans="1:7" ht="15">
      <c r="A474" s="4">
        <v>45289</v>
      </c>
      <c r="B474" s="8">
        <v>4704</v>
      </c>
      <c r="C474" s="5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D474" s="8"/>
      <c r="E474" s="8"/>
      <c r="F474" s="8"/>
      <c r="G474" s="6">
        <v>4496215215.93</v>
      </c>
    </row>
    <row r="475" spans="1:7" ht="15">
      <c r="A475" s="4">
        <v>45289</v>
      </c>
      <c r="B475" s="8">
        <v>4852</v>
      </c>
      <c r="C475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D475" s="8"/>
      <c r="E475" s="8"/>
      <c r="F475" s="8"/>
      <c r="G475" s="6">
        <v>113686.6</v>
      </c>
    </row>
    <row r="476" spans="1:7" ht="15">
      <c r="A476" s="4">
        <v>45289</v>
      </c>
      <c r="B476" s="8">
        <v>4853</v>
      </c>
      <c r="C476" s="5" t="str">
        <f>"Доходы от реализации запасов"</f>
        <v>Доходы от реализации запасов</v>
      </c>
      <c r="D476" s="8"/>
      <c r="E476" s="8"/>
      <c r="F476" s="8"/>
      <c r="G476" s="6">
        <v>16217890.82</v>
      </c>
    </row>
    <row r="477" spans="1:7" ht="15">
      <c r="A477" s="4">
        <v>45289</v>
      </c>
      <c r="B477" s="8">
        <v>4892</v>
      </c>
      <c r="C477" s="5" t="str">
        <f>"Доходы по операциям форвард"</f>
        <v>Доходы по операциям форвард</v>
      </c>
      <c r="D477" s="8"/>
      <c r="E477" s="8"/>
      <c r="F477" s="8"/>
      <c r="G477" s="6">
        <v>550000</v>
      </c>
    </row>
    <row r="478" spans="1:7" ht="15">
      <c r="A478" s="4">
        <v>45289</v>
      </c>
      <c r="B478" s="8">
        <v>4895</v>
      </c>
      <c r="C478" s="5" t="str">
        <f>"Доходы по операциям своп"</f>
        <v>Доходы по операциям своп</v>
      </c>
      <c r="D478" s="8"/>
      <c r="E478" s="8"/>
      <c r="F478" s="8"/>
      <c r="G478" s="6">
        <v>8607281817.52</v>
      </c>
    </row>
    <row r="479" spans="1:7" ht="15">
      <c r="A479" s="4">
        <v>45289</v>
      </c>
      <c r="B479" s="8">
        <v>4900</v>
      </c>
      <c r="C479" s="5" t="str">
        <f>"Неустойка (штраф, пеня)"</f>
        <v>Неустойка (штраф, пеня)</v>
      </c>
      <c r="D479" s="8"/>
      <c r="E479" s="8"/>
      <c r="F479" s="8"/>
      <c r="G479" s="6">
        <v>1374579552.58</v>
      </c>
    </row>
    <row r="480" spans="1:7" ht="15">
      <c r="A480" s="4">
        <v>45289</v>
      </c>
      <c r="B480" s="8">
        <v>4921</v>
      </c>
      <c r="C480" s="5" t="str">
        <f>"Прочие доходы от банковской деятельности"</f>
        <v>Прочие доходы от банковской деятельности</v>
      </c>
      <c r="D480" s="8"/>
      <c r="E480" s="8"/>
      <c r="F480" s="8"/>
      <c r="G480" s="6">
        <v>3165298034.64</v>
      </c>
    </row>
    <row r="481" spans="1:7" ht="15">
      <c r="A481" s="4">
        <v>45289</v>
      </c>
      <c r="B481" s="8">
        <v>4922</v>
      </c>
      <c r="C481" s="5" t="str">
        <f>"Прочие доходы от неосновной деятельности"</f>
        <v>Прочие доходы от неосновной деятельности</v>
      </c>
      <c r="D481" s="8"/>
      <c r="E481" s="8"/>
      <c r="F481" s="8"/>
      <c r="G481" s="6">
        <v>3898736919.12</v>
      </c>
    </row>
    <row r="482" spans="1:7" ht="15">
      <c r="A482" s="4">
        <v>45289</v>
      </c>
      <c r="B482" s="8">
        <v>4951</v>
      </c>
      <c r="C482" s="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482" s="8"/>
      <c r="E482" s="8"/>
      <c r="F482" s="8"/>
      <c r="G482" s="6">
        <v>188008.9</v>
      </c>
    </row>
    <row r="483" spans="1:7" ht="15">
      <c r="A483" s="4">
        <v>45289</v>
      </c>
      <c r="B483" s="8">
        <v>4953</v>
      </c>
      <c r="C483" s="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483" s="8"/>
      <c r="E483" s="8"/>
      <c r="F483" s="8"/>
      <c r="G483" s="6">
        <v>3046466227.61</v>
      </c>
    </row>
    <row r="484" spans="1:7" ht="15">
      <c r="A484" s="4">
        <v>45289</v>
      </c>
      <c r="B484" s="8">
        <v>4954</v>
      </c>
      <c r="C484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484" s="8"/>
      <c r="E484" s="8"/>
      <c r="F484" s="8"/>
      <c r="G484" s="6">
        <v>39943662.88</v>
      </c>
    </row>
    <row r="485" spans="1:7" ht="15">
      <c r="A485" s="4">
        <v>45289</v>
      </c>
      <c r="B485" s="8">
        <v>4955</v>
      </c>
      <c r="C485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485" s="8"/>
      <c r="E485" s="8"/>
      <c r="F485" s="8"/>
      <c r="G485" s="6">
        <v>149976730292.67</v>
      </c>
    </row>
    <row r="486" spans="1:7" ht="15">
      <c r="A486" s="4">
        <v>45289</v>
      </c>
      <c r="B486" s="8">
        <v>4957</v>
      </c>
      <c r="C486" s="5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D486" s="8"/>
      <c r="E486" s="8"/>
      <c r="F486" s="8"/>
      <c r="G486" s="6">
        <v>9199485.84</v>
      </c>
    </row>
    <row r="487" spans="1:7" ht="15">
      <c r="A487" s="4">
        <v>45289</v>
      </c>
      <c r="B487" s="8">
        <v>4958</v>
      </c>
      <c r="C487" s="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487" s="8"/>
      <c r="E487" s="8"/>
      <c r="F487" s="8"/>
      <c r="G487" s="6">
        <v>23597307091.17</v>
      </c>
    </row>
    <row r="488" spans="1:7" ht="15">
      <c r="A488" s="4">
        <v>45289</v>
      </c>
      <c r="B488" s="8">
        <v>4959</v>
      </c>
      <c r="C488" s="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D488" s="8"/>
      <c r="E488" s="8"/>
      <c r="F488" s="8"/>
      <c r="G488" s="6">
        <v>3000000</v>
      </c>
    </row>
    <row r="489" spans="1:7" ht="15">
      <c r="A489" s="4">
        <v>45289</v>
      </c>
      <c r="B489" s="8">
        <v>5023</v>
      </c>
      <c r="C489" s="5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D489" s="8"/>
      <c r="E489" s="8"/>
      <c r="F489" s="8"/>
      <c r="G489" s="6">
        <v>18655734.16</v>
      </c>
    </row>
    <row r="490" spans="1:7" ht="15">
      <c r="A490" s="4">
        <v>45289</v>
      </c>
      <c r="B490" s="8">
        <v>5056</v>
      </c>
      <c r="C490" s="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490" s="8"/>
      <c r="E490" s="8"/>
      <c r="F490" s="8"/>
      <c r="G490" s="6">
        <v>10138888889.11</v>
      </c>
    </row>
    <row r="491" spans="1:7" ht="15">
      <c r="A491" s="4">
        <v>45289</v>
      </c>
      <c r="B491" s="8">
        <v>5064</v>
      </c>
      <c r="C491" s="5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D491" s="8"/>
      <c r="E491" s="8"/>
      <c r="F491" s="8"/>
      <c r="G491" s="6">
        <v>43333.33</v>
      </c>
    </row>
    <row r="492" spans="1:7" ht="15">
      <c r="A492" s="4">
        <v>45289</v>
      </c>
      <c r="B492" s="8">
        <v>5066</v>
      </c>
      <c r="C492" s="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D492" s="8"/>
      <c r="E492" s="8"/>
      <c r="F492" s="8"/>
      <c r="G492" s="6">
        <v>33444444.54</v>
      </c>
    </row>
    <row r="493" spans="1:7" ht="15">
      <c r="A493" s="4">
        <v>45289</v>
      </c>
      <c r="B493" s="8">
        <v>5069</v>
      </c>
      <c r="C493" s="5" t="str">
        <f>"Расходы по амортизации дисконта по полученным займам"</f>
        <v>Расходы по амортизации дисконта по полученным займам</v>
      </c>
      <c r="D493" s="8"/>
      <c r="E493" s="8"/>
      <c r="F493" s="8"/>
      <c r="G493" s="6">
        <v>9882601977</v>
      </c>
    </row>
    <row r="494" spans="1:7" ht="15">
      <c r="A494" s="4">
        <v>45289</v>
      </c>
      <c r="B494" s="8">
        <v>5143</v>
      </c>
      <c r="C494" s="5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D494" s="8"/>
      <c r="E494" s="8"/>
      <c r="F494" s="8"/>
      <c r="G494" s="6">
        <v>125000</v>
      </c>
    </row>
    <row r="495" spans="1:7" ht="15">
      <c r="A495" s="4">
        <v>45289</v>
      </c>
      <c r="B495" s="8">
        <v>5211</v>
      </c>
      <c r="C495" s="5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D495" s="8"/>
      <c r="E495" s="8"/>
      <c r="F495" s="8"/>
      <c r="G495" s="6">
        <v>43076.13</v>
      </c>
    </row>
    <row r="496" spans="1:7" ht="15">
      <c r="A496" s="4">
        <v>45289</v>
      </c>
      <c r="B496" s="8">
        <v>5215</v>
      </c>
      <c r="C496" s="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496" s="8"/>
      <c r="E496" s="8"/>
      <c r="F496" s="8"/>
      <c r="G496" s="6">
        <v>57441990510.58</v>
      </c>
    </row>
    <row r="497" spans="1:7" ht="15">
      <c r="A497" s="4">
        <v>45289</v>
      </c>
      <c r="B497" s="8">
        <v>5217</v>
      </c>
      <c r="C497" s="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497" s="8"/>
      <c r="E497" s="8"/>
      <c r="F497" s="8"/>
      <c r="G497" s="6">
        <v>37584737093.46</v>
      </c>
    </row>
    <row r="498" spans="1:7" ht="15">
      <c r="A498" s="4">
        <v>45289</v>
      </c>
      <c r="B498" s="8">
        <v>5218</v>
      </c>
      <c r="C498" s="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498" s="8"/>
      <c r="E498" s="8"/>
      <c r="F498" s="8"/>
      <c r="G498" s="6">
        <v>12339805611.81</v>
      </c>
    </row>
    <row r="499" spans="1:7" ht="15">
      <c r="A499" s="4">
        <v>45289</v>
      </c>
      <c r="B499" s="8">
        <v>5219</v>
      </c>
      <c r="C499" s="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499" s="8"/>
      <c r="E499" s="8"/>
      <c r="F499" s="8"/>
      <c r="G499" s="6">
        <v>51583829.68</v>
      </c>
    </row>
    <row r="500" spans="1:7" ht="15">
      <c r="A500" s="4">
        <v>45289</v>
      </c>
      <c r="B500" s="8">
        <v>5220</v>
      </c>
      <c r="C500" s="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500" s="8"/>
      <c r="E500" s="8"/>
      <c r="F500" s="8"/>
      <c r="G500" s="6">
        <v>1855332271.99</v>
      </c>
    </row>
    <row r="501" spans="1:7" ht="15">
      <c r="A501" s="4">
        <v>45289</v>
      </c>
      <c r="B501" s="8">
        <v>5223</v>
      </c>
      <c r="C501" s="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501" s="8"/>
      <c r="E501" s="8"/>
      <c r="F501" s="8"/>
      <c r="G501" s="6">
        <v>1738466834.89</v>
      </c>
    </row>
    <row r="502" spans="1:7" ht="15">
      <c r="A502" s="4">
        <v>45289</v>
      </c>
      <c r="B502" s="8">
        <v>5227</v>
      </c>
      <c r="C502" s="5" t="str">
        <f>"Процентные расходы по обязательствам по аренде"</f>
        <v>Процентные расходы по обязательствам по аренде</v>
      </c>
      <c r="D502" s="8"/>
      <c r="E502" s="8"/>
      <c r="F502" s="8"/>
      <c r="G502" s="6">
        <v>279228478</v>
      </c>
    </row>
    <row r="503" spans="1:7" ht="15">
      <c r="A503" s="4">
        <v>45289</v>
      </c>
      <c r="B503" s="8">
        <v>5229</v>
      </c>
      <c r="C503" s="5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503" s="8"/>
      <c r="E503" s="8"/>
      <c r="F503" s="8"/>
      <c r="G503" s="6">
        <v>28907806.07</v>
      </c>
    </row>
    <row r="504" spans="1:7" ht="15">
      <c r="A504" s="4">
        <v>45289</v>
      </c>
      <c r="B504" s="8">
        <v>5240</v>
      </c>
      <c r="C504" s="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D504" s="8"/>
      <c r="E504" s="8"/>
      <c r="F504" s="8"/>
      <c r="G504" s="6">
        <v>782763644</v>
      </c>
    </row>
    <row r="505" spans="1:7" ht="15">
      <c r="A505" s="4">
        <v>45289</v>
      </c>
      <c r="B505" s="8">
        <v>5250</v>
      </c>
      <c r="C505" s="5" t="s">
        <v>8</v>
      </c>
      <c r="D505" s="8"/>
      <c r="E505" s="8"/>
      <c r="F505" s="8"/>
      <c r="G505" s="6">
        <v>13487624.77</v>
      </c>
    </row>
    <row r="506" spans="1:7" ht="15">
      <c r="A506" s="4">
        <v>45289</v>
      </c>
      <c r="B506" s="8">
        <v>5301</v>
      </c>
      <c r="C506" s="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D506" s="8"/>
      <c r="E506" s="8"/>
      <c r="F506" s="8"/>
      <c r="G506" s="6">
        <v>20246575342.38</v>
      </c>
    </row>
    <row r="507" spans="1:7" ht="15">
      <c r="A507" s="4">
        <v>45289</v>
      </c>
      <c r="B507" s="8">
        <v>5306</v>
      </c>
      <c r="C507" s="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D507" s="8"/>
      <c r="E507" s="8"/>
      <c r="F507" s="8"/>
      <c r="G507" s="6">
        <v>87133552.95</v>
      </c>
    </row>
    <row r="508" spans="1:7" ht="15">
      <c r="A508" s="4">
        <v>45289</v>
      </c>
      <c r="B508" s="8">
        <v>5404</v>
      </c>
      <c r="C508" s="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D508" s="8"/>
      <c r="E508" s="8"/>
      <c r="F508" s="8"/>
      <c r="G508" s="6">
        <v>43480041.74</v>
      </c>
    </row>
    <row r="509" spans="1:7" ht="15">
      <c r="A509" s="4">
        <v>45289</v>
      </c>
      <c r="B509" s="8">
        <v>5406</v>
      </c>
      <c r="C509" s="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D509" s="8"/>
      <c r="E509" s="8"/>
      <c r="F509" s="8"/>
      <c r="G509" s="6">
        <v>114849.32</v>
      </c>
    </row>
    <row r="510" spans="1:7" ht="15">
      <c r="A510" s="4">
        <v>45289</v>
      </c>
      <c r="B510" s="8">
        <v>5451</v>
      </c>
      <c r="C510" s="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D510" s="8"/>
      <c r="E510" s="8"/>
      <c r="F510" s="8"/>
      <c r="G510" s="6">
        <v>123005.05</v>
      </c>
    </row>
    <row r="511" spans="1:7" ht="15">
      <c r="A511" s="4">
        <v>45289</v>
      </c>
      <c r="B511" s="8">
        <v>5453</v>
      </c>
      <c r="C511" s="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511" s="8"/>
      <c r="E511" s="8"/>
      <c r="F511" s="8"/>
      <c r="G511" s="6">
        <v>3092711795.79</v>
      </c>
    </row>
    <row r="512" spans="1:7" ht="15">
      <c r="A512" s="4">
        <v>45289</v>
      </c>
      <c r="B512" s="8">
        <v>5455</v>
      </c>
      <c r="C512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512" s="8"/>
      <c r="E512" s="8"/>
      <c r="F512" s="8"/>
      <c r="G512" s="6">
        <v>175262289833.35</v>
      </c>
    </row>
    <row r="513" spans="1:7" ht="15">
      <c r="A513" s="4">
        <v>45289</v>
      </c>
      <c r="B513" s="8">
        <v>5457</v>
      </c>
      <c r="C513" s="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513" s="8"/>
      <c r="E513" s="8"/>
      <c r="F513" s="8"/>
      <c r="G513" s="6">
        <v>24652103.5</v>
      </c>
    </row>
    <row r="514" spans="1:7" ht="15">
      <c r="A514" s="4">
        <v>45289</v>
      </c>
      <c r="B514" s="8">
        <v>5464</v>
      </c>
      <c r="C514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514" s="8"/>
      <c r="E514" s="8"/>
      <c r="F514" s="8"/>
      <c r="G514" s="6">
        <v>67142927.01</v>
      </c>
    </row>
    <row r="515" spans="1:7" ht="15">
      <c r="A515" s="4">
        <v>45289</v>
      </c>
      <c r="B515" s="8">
        <v>5465</v>
      </c>
      <c r="C515" s="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515" s="8"/>
      <c r="E515" s="8"/>
      <c r="F515" s="8"/>
      <c r="G515" s="6">
        <v>19683563211.52</v>
      </c>
    </row>
    <row r="516" spans="1:7" ht="15">
      <c r="A516" s="4">
        <v>45289</v>
      </c>
      <c r="B516" s="8">
        <v>5530</v>
      </c>
      <c r="C516" s="5" t="str">
        <f>"Расходы по купле-продаже иностранной валюты"</f>
        <v>Расходы по купле-продаже иностранной валюты</v>
      </c>
      <c r="D516" s="8"/>
      <c r="E516" s="8"/>
      <c r="F516" s="8"/>
      <c r="G516" s="6">
        <v>2958094099.18</v>
      </c>
    </row>
    <row r="517" spans="1:7" ht="15">
      <c r="A517" s="4">
        <v>45289</v>
      </c>
      <c r="B517" s="8">
        <v>5540</v>
      </c>
      <c r="C517" s="5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D517" s="8"/>
      <c r="E517" s="8"/>
      <c r="F517" s="8"/>
      <c r="G517" s="6">
        <v>63618149.31</v>
      </c>
    </row>
    <row r="518" spans="1:7" ht="15">
      <c r="A518" s="4">
        <v>45289</v>
      </c>
      <c r="B518" s="8">
        <v>5570</v>
      </c>
      <c r="C518" s="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D518" s="8"/>
      <c r="E518" s="8"/>
      <c r="F518" s="8"/>
      <c r="G518" s="6">
        <v>477605.8</v>
      </c>
    </row>
    <row r="519" spans="1:7" ht="15">
      <c r="A519" s="4">
        <v>45289</v>
      </c>
      <c r="B519" s="8">
        <v>5601</v>
      </c>
      <c r="C519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519" s="8"/>
      <c r="E519" s="8"/>
      <c r="F519" s="8"/>
      <c r="G519" s="6">
        <v>116700820.17</v>
      </c>
    </row>
    <row r="520" spans="1:7" ht="15">
      <c r="A520" s="4">
        <v>45289</v>
      </c>
      <c r="B520" s="8">
        <v>5602</v>
      </c>
      <c r="C520" s="5" t="str">
        <f>"Комиссионные расходы по полученным агентским услугам"</f>
        <v>Комиссионные расходы по полученным агентским услугам</v>
      </c>
      <c r="D520" s="8"/>
      <c r="E520" s="8"/>
      <c r="F520" s="8"/>
      <c r="G520" s="6">
        <v>3781968091.55</v>
      </c>
    </row>
    <row r="521" spans="1:7" ht="15">
      <c r="A521" s="4">
        <v>45289</v>
      </c>
      <c r="B521" s="8">
        <v>5608</v>
      </c>
      <c r="C521" s="5" t="str">
        <f>"Прочие комиссионные расходы"</f>
        <v>Прочие комиссионные расходы</v>
      </c>
      <c r="D521" s="8"/>
      <c r="E521" s="8"/>
      <c r="F521" s="8"/>
      <c r="G521" s="6">
        <v>2050340979.09</v>
      </c>
    </row>
    <row r="522" spans="1:7" ht="15">
      <c r="A522" s="4">
        <v>45289</v>
      </c>
      <c r="B522" s="8">
        <v>5609</v>
      </c>
      <c r="C522" s="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522" s="8"/>
      <c r="E522" s="8"/>
      <c r="F522" s="8"/>
      <c r="G522" s="6">
        <v>282684129.45</v>
      </c>
    </row>
    <row r="523" spans="1:7" ht="15">
      <c r="A523" s="4">
        <v>45289</v>
      </c>
      <c r="B523" s="8">
        <v>5703</v>
      </c>
      <c r="C523" s="5" t="str">
        <f>"Расходы от переоценки иностранной валюты"</f>
        <v>Расходы от переоценки иностранной валюты</v>
      </c>
      <c r="D523" s="8"/>
      <c r="E523" s="8"/>
      <c r="F523" s="8"/>
      <c r="G523" s="6">
        <v>22303572977030.6</v>
      </c>
    </row>
    <row r="524" spans="1:7" ht="15">
      <c r="A524" s="4">
        <v>45289</v>
      </c>
      <c r="B524" s="8">
        <v>5704</v>
      </c>
      <c r="C524" s="5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D524" s="8"/>
      <c r="E524" s="8"/>
      <c r="F524" s="8"/>
      <c r="G524" s="6">
        <v>4588211205.57</v>
      </c>
    </row>
    <row r="525" spans="1:7" ht="15">
      <c r="A525" s="4">
        <v>45289</v>
      </c>
      <c r="B525" s="8">
        <v>5721</v>
      </c>
      <c r="C525" s="5" t="str">
        <f>"Расходы по оплате труда"</f>
        <v>Расходы по оплате труда</v>
      </c>
      <c r="D525" s="8"/>
      <c r="E525" s="8"/>
      <c r="F525" s="8"/>
      <c r="G525" s="6">
        <v>26688373556.83</v>
      </c>
    </row>
    <row r="526" spans="1:7" ht="15">
      <c r="A526" s="4">
        <v>45289</v>
      </c>
      <c r="B526" s="8">
        <v>5722</v>
      </c>
      <c r="C526" s="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D526" s="8"/>
      <c r="E526" s="8"/>
      <c r="F526" s="8"/>
      <c r="G526" s="6">
        <v>1234012609</v>
      </c>
    </row>
    <row r="527" spans="1:7" ht="15">
      <c r="A527" s="4">
        <v>45289</v>
      </c>
      <c r="B527" s="8">
        <v>5729</v>
      </c>
      <c r="C527" s="5" t="str">
        <f>"Прочие выплаты"</f>
        <v>Прочие выплаты</v>
      </c>
      <c r="D527" s="8"/>
      <c r="E527" s="8"/>
      <c r="F527" s="8"/>
      <c r="G527" s="6">
        <v>14267660250.06</v>
      </c>
    </row>
    <row r="528" spans="1:7" ht="15">
      <c r="A528" s="4">
        <v>45289</v>
      </c>
      <c r="B528" s="8">
        <v>5733</v>
      </c>
      <c r="C528" s="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D528" s="8"/>
      <c r="E528" s="8"/>
      <c r="F528" s="8"/>
      <c r="G528" s="6">
        <v>323749533.12</v>
      </c>
    </row>
    <row r="529" spans="1:7" ht="15">
      <c r="A529" s="4">
        <v>45289</v>
      </c>
      <c r="B529" s="8">
        <v>5734</v>
      </c>
      <c r="C529" s="5" t="str">
        <f>"Расходы от прочей переоценки"</f>
        <v>Расходы от прочей переоценки</v>
      </c>
      <c r="D529" s="8"/>
      <c r="E529" s="8"/>
      <c r="F529" s="8"/>
      <c r="G529" s="6">
        <v>505095.58</v>
      </c>
    </row>
    <row r="530" spans="1:7" ht="15">
      <c r="A530" s="4">
        <v>45289</v>
      </c>
      <c r="B530" s="8">
        <v>5741</v>
      </c>
      <c r="C530" s="5" t="str">
        <f>"Транспортные расходы"</f>
        <v>Транспортные расходы</v>
      </c>
      <c r="D530" s="8"/>
      <c r="E530" s="8"/>
      <c r="F530" s="8"/>
      <c r="G530" s="6">
        <v>490125413.8</v>
      </c>
    </row>
    <row r="531" spans="1:7" ht="15">
      <c r="A531" s="4">
        <v>45289</v>
      </c>
      <c r="B531" s="8">
        <v>5742</v>
      </c>
      <c r="C531" s="5" t="str">
        <f>"Административные расходы"</f>
        <v>Административные расходы</v>
      </c>
      <c r="D531" s="8"/>
      <c r="E531" s="8"/>
      <c r="F531" s="8"/>
      <c r="G531" s="6">
        <v>3839026004.11</v>
      </c>
    </row>
    <row r="532" spans="1:7" ht="15">
      <c r="A532" s="4">
        <v>45289</v>
      </c>
      <c r="B532" s="8">
        <v>5743</v>
      </c>
      <c r="C532" s="5" t="str">
        <f>"Расходы на инкассацию"</f>
        <v>Расходы на инкассацию</v>
      </c>
      <c r="D532" s="8"/>
      <c r="E532" s="8"/>
      <c r="F532" s="8"/>
      <c r="G532" s="6">
        <v>389979161.92</v>
      </c>
    </row>
    <row r="533" spans="1:7" ht="15">
      <c r="A533" s="4">
        <v>45289</v>
      </c>
      <c r="B533" s="8">
        <v>5744</v>
      </c>
      <c r="C533" s="5" t="str">
        <f>"Расходы на ремонт"</f>
        <v>Расходы на ремонт</v>
      </c>
      <c r="D533" s="8"/>
      <c r="E533" s="8"/>
      <c r="F533" s="8"/>
      <c r="G533" s="6">
        <v>247511476.52</v>
      </c>
    </row>
    <row r="534" spans="1:7" ht="15">
      <c r="A534" s="4">
        <v>45289</v>
      </c>
      <c r="B534" s="8">
        <v>5745</v>
      </c>
      <c r="C534" s="5" t="str">
        <f>"Расходы на рекламу"</f>
        <v>Расходы на рекламу</v>
      </c>
      <c r="D534" s="8"/>
      <c r="E534" s="8"/>
      <c r="F534" s="8"/>
      <c r="G534" s="6">
        <v>936297533.34</v>
      </c>
    </row>
    <row r="535" spans="1:7" ht="15">
      <c r="A535" s="4">
        <v>45289</v>
      </c>
      <c r="B535" s="8">
        <v>5746</v>
      </c>
      <c r="C535" s="5" t="str">
        <f>"Расходы на охрану и сигнализацию"</f>
        <v>Расходы на охрану и сигнализацию</v>
      </c>
      <c r="D535" s="8"/>
      <c r="E535" s="8"/>
      <c r="F535" s="8"/>
      <c r="G535" s="6">
        <v>725595490.97</v>
      </c>
    </row>
    <row r="536" spans="1:7" ht="15">
      <c r="A536" s="4">
        <v>45289</v>
      </c>
      <c r="B536" s="8">
        <v>5748</v>
      </c>
      <c r="C536" s="5" t="str">
        <f>"Прочие общехозяйственные расходы"</f>
        <v>Прочие общехозяйственные расходы</v>
      </c>
      <c r="D536" s="8"/>
      <c r="E536" s="8"/>
      <c r="F536" s="8"/>
      <c r="G536" s="6">
        <v>2746700427.11</v>
      </c>
    </row>
    <row r="537" spans="1:7" ht="15">
      <c r="A537" s="4">
        <v>45289</v>
      </c>
      <c r="B537" s="8">
        <v>5749</v>
      </c>
      <c r="C537" s="5" t="str">
        <f>"Расходы на служебные командировки"</f>
        <v>Расходы на служебные командировки</v>
      </c>
      <c r="D537" s="8"/>
      <c r="E537" s="8"/>
      <c r="F537" s="8"/>
      <c r="G537" s="6">
        <v>225394110.99</v>
      </c>
    </row>
    <row r="538" spans="1:7" ht="15">
      <c r="A538" s="4">
        <v>45289</v>
      </c>
      <c r="B538" s="8">
        <v>5750</v>
      </c>
      <c r="C538" s="5" t="str">
        <f>"Расходы по аудиту и консультационным услугам"</f>
        <v>Расходы по аудиту и консультационным услугам</v>
      </c>
      <c r="D538" s="8"/>
      <c r="E538" s="8"/>
      <c r="F538" s="8"/>
      <c r="G538" s="6">
        <v>1658345761.62</v>
      </c>
    </row>
    <row r="539" spans="1:7" ht="15">
      <c r="A539" s="4">
        <v>45289</v>
      </c>
      <c r="B539" s="8">
        <v>5752</v>
      </c>
      <c r="C539" s="5" t="str">
        <f>"Расходы по страхованию"</f>
        <v>Расходы по страхованию</v>
      </c>
      <c r="D539" s="8"/>
      <c r="E539" s="8"/>
      <c r="F539" s="8"/>
      <c r="G539" s="6">
        <v>371539381.64</v>
      </c>
    </row>
    <row r="540" spans="1:7" ht="15">
      <c r="A540" s="4">
        <v>45289</v>
      </c>
      <c r="B540" s="8">
        <v>5753</v>
      </c>
      <c r="C540" s="5" t="str">
        <f>"Расходы по услугам связи"</f>
        <v>Расходы по услугам связи</v>
      </c>
      <c r="D540" s="8"/>
      <c r="E540" s="8"/>
      <c r="F540" s="8"/>
      <c r="G540" s="6">
        <v>1288876450.17</v>
      </c>
    </row>
    <row r="541" spans="1:7" ht="15">
      <c r="A541" s="4">
        <v>45289</v>
      </c>
      <c r="B541" s="8">
        <v>5754</v>
      </c>
      <c r="C541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541" s="8"/>
      <c r="E541" s="8"/>
      <c r="F541" s="8"/>
      <c r="G541" s="6">
        <v>2926831360</v>
      </c>
    </row>
    <row r="542" spans="1:7" ht="15">
      <c r="A542" s="4">
        <v>45289</v>
      </c>
      <c r="B542" s="8">
        <v>5761</v>
      </c>
      <c r="C542" s="5" t="str">
        <f>"Налог на добавленную стоимость"</f>
        <v>Налог на добавленную стоимость</v>
      </c>
      <c r="D542" s="8"/>
      <c r="E542" s="8"/>
      <c r="F542" s="8"/>
      <c r="G542" s="6">
        <v>1229522942.49</v>
      </c>
    </row>
    <row r="543" spans="1:7" ht="15">
      <c r="A543" s="4">
        <v>45289</v>
      </c>
      <c r="B543" s="8">
        <v>5763</v>
      </c>
      <c r="C543" s="5" t="str">
        <f>"Социальный налог"</f>
        <v>Социальный налог</v>
      </c>
      <c r="D543" s="8"/>
      <c r="E543" s="8"/>
      <c r="F543" s="8"/>
      <c r="G543" s="6">
        <v>2908624669.01</v>
      </c>
    </row>
    <row r="544" spans="1:7" ht="15">
      <c r="A544" s="4">
        <v>45289</v>
      </c>
      <c r="B544" s="8">
        <v>5764</v>
      </c>
      <c r="C544" s="5" t="str">
        <f>"Земельный налог"</f>
        <v>Земельный налог</v>
      </c>
      <c r="D544" s="8"/>
      <c r="E544" s="8"/>
      <c r="F544" s="8"/>
      <c r="G544" s="6">
        <v>2050094</v>
      </c>
    </row>
    <row r="545" spans="1:7" ht="15">
      <c r="A545" s="4">
        <v>45289</v>
      </c>
      <c r="B545" s="8">
        <v>5765</v>
      </c>
      <c r="C545" s="5" t="str">
        <f>"Налог на имущество юридических лиц"</f>
        <v>Налог на имущество юридических лиц</v>
      </c>
      <c r="D545" s="8"/>
      <c r="E545" s="8"/>
      <c r="F545" s="8"/>
      <c r="G545" s="6">
        <v>277996099</v>
      </c>
    </row>
    <row r="546" spans="1:7" ht="15">
      <c r="A546" s="4">
        <v>45289</v>
      </c>
      <c r="B546" s="8">
        <v>5766</v>
      </c>
      <c r="C546" s="5" t="str">
        <f>"Налог на транспортные средства"</f>
        <v>Налог на транспортные средства</v>
      </c>
      <c r="D546" s="8"/>
      <c r="E546" s="8"/>
      <c r="F546" s="8"/>
      <c r="G546" s="6">
        <v>2248243</v>
      </c>
    </row>
    <row r="547" spans="1:7" ht="15">
      <c r="A547" s="4">
        <v>45289</v>
      </c>
      <c r="B547" s="8">
        <v>5768</v>
      </c>
      <c r="C547" s="5" t="str">
        <f>"Прочие налоги и обязательные платежи в бюджет"</f>
        <v>Прочие налоги и обязательные платежи в бюджет</v>
      </c>
      <c r="D547" s="8"/>
      <c r="E547" s="8"/>
      <c r="F547" s="8"/>
      <c r="G547" s="6">
        <v>123563659.31</v>
      </c>
    </row>
    <row r="548" spans="1:7" ht="15">
      <c r="A548" s="4">
        <v>45289</v>
      </c>
      <c r="B548" s="8">
        <v>5781</v>
      </c>
      <c r="C548" s="5" t="str">
        <f>"Расходы по амортизации зданий и сооружений"</f>
        <v>Расходы по амортизации зданий и сооружений</v>
      </c>
      <c r="D548" s="8"/>
      <c r="E548" s="8"/>
      <c r="F548" s="8"/>
      <c r="G548" s="6">
        <v>246130256</v>
      </c>
    </row>
    <row r="549" spans="1:7" ht="15">
      <c r="A549" s="4">
        <v>45289</v>
      </c>
      <c r="B549" s="8">
        <v>5782</v>
      </c>
      <c r="C549" s="5" t="str">
        <f>"Расходы по амортизации компьютерного оборудования"</f>
        <v>Расходы по амортизации компьютерного оборудования</v>
      </c>
      <c r="D549" s="8"/>
      <c r="E549" s="8"/>
      <c r="F549" s="8"/>
      <c r="G549" s="6">
        <v>2357299167.47</v>
      </c>
    </row>
    <row r="550" spans="1:7" ht="15">
      <c r="A550" s="4">
        <v>45289</v>
      </c>
      <c r="B550" s="8">
        <v>5783</v>
      </c>
      <c r="C550" s="5" t="str">
        <f>"Расходы по амортизации прочих основных средств"</f>
        <v>Расходы по амортизации прочих основных средств</v>
      </c>
      <c r="D550" s="8"/>
      <c r="E550" s="8"/>
      <c r="F550" s="8"/>
      <c r="G550" s="6">
        <v>3658767674.07</v>
      </c>
    </row>
    <row r="551" spans="1:7" ht="15">
      <c r="A551" s="4">
        <v>45289</v>
      </c>
      <c r="B551" s="8">
        <v>5784</v>
      </c>
      <c r="C551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D551" s="8"/>
      <c r="E551" s="8"/>
      <c r="F551" s="8"/>
      <c r="G551" s="6">
        <v>1925656903.82</v>
      </c>
    </row>
    <row r="552" spans="1:7" ht="15">
      <c r="A552" s="4">
        <v>45289</v>
      </c>
      <c r="B552" s="8">
        <v>5787</v>
      </c>
      <c r="C552" s="5" t="str">
        <f>"Расходы по амортизации транспортных средств"</f>
        <v>Расходы по амортизации транспортных средств</v>
      </c>
      <c r="D552" s="8"/>
      <c r="E552" s="8"/>
      <c r="F552" s="8"/>
      <c r="G552" s="6">
        <v>54467817</v>
      </c>
    </row>
    <row r="553" spans="1:7" ht="15">
      <c r="A553" s="4">
        <v>45289</v>
      </c>
      <c r="B553" s="8">
        <v>5788</v>
      </c>
      <c r="C553" s="5" t="str">
        <f>"Расходы по амортизации нематериальных активов"</f>
        <v>Расходы по амортизации нематериальных активов</v>
      </c>
      <c r="D553" s="8"/>
      <c r="E553" s="8"/>
      <c r="F553" s="8"/>
      <c r="G553" s="6">
        <v>6969871726.84</v>
      </c>
    </row>
    <row r="554" spans="1:7" ht="15">
      <c r="A554" s="4">
        <v>45289</v>
      </c>
      <c r="B554" s="8">
        <v>5854</v>
      </c>
      <c r="C554" s="5" t="str">
        <f>"Расходы от реализации запасов"</f>
        <v>Расходы от реализации запасов</v>
      </c>
      <c r="D554" s="8"/>
      <c r="E554" s="8"/>
      <c r="F554" s="8"/>
      <c r="G554" s="6">
        <v>94292229.14</v>
      </c>
    </row>
    <row r="555" spans="1:7" ht="15">
      <c r="A555" s="4">
        <v>45289</v>
      </c>
      <c r="B555" s="8">
        <v>5892</v>
      </c>
      <c r="C555" s="5" t="str">
        <f>"Расходы по операциям форвард"</f>
        <v>Расходы по операциям форвард</v>
      </c>
      <c r="D555" s="8"/>
      <c r="E555" s="8"/>
      <c r="F555" s="8"/>
      <c r="G555" s="6">
        <v>463250</v>
      </c>
    </row>
    <row r="556" spans="1:7" ht="15">
      <c r="A556" s="4">
        <v>45289</v>
      </c>
      <c r="B556" s="8">
        <v>5895</v>
      </c>
      <c r="C556" s="5" t="str">
        <f>"Расходы по операциям своп"</f>
        <v>Расходы по операциям своп</v>
      </c>
      <c r="D556" s="8"/>
      <c r="E556" s="8"/>
      <c r="F556" s="8"/>
      <c r="G556" s="6">
        <v>7000781133.82</v>
      </c>
    </row>
    <row r="557" spans="1:7" ht="15">
      <c r="A557" s="4">
        <v>45289</v>
      </c>
      <c r="B557" s="8">
        <v>5900</v>
      </c>
      <c r="C557" s="5" t="str">
        <f>"Неустойка (штраф, пеня)"</f>
        <v>Неустойка (штраф, пеня)</v>
      </c>
      <c r="D557" s="8"/>
      <c r="E557" s="8"/>
      <c r="F557" s="8"/>
      <c r="G557" s="6">
        <v>315205371.85</v>
      </c>
    </row>
    <row r="558" spans="1:7" ht="15">
      <c r="A558" s="4">
        <v>45289</v>
      </c>
      <c r="B558" s="8">
        <v>5921</v>
      </c>
      <c r="C558" s="5" t="str">
        <f>"Прочие расходы от банковской деятельности"</f>
        <v>Прочие расходы от банковской деятельности</v>
      </c>
      <c r="D558" s="8"/>
      <c r="E558" s="8"/>
      <c r="F558" s="8"/>
      <c r="G558" s="6">
        <v>2474033474.26</v>
      </c>
    </row>
    <row r="559" spans="1:7" ht="15">
      <c r="A559" s="4">
        <v>45289</v>
      </c>
      <c r="B559" s="8">
        <v>5922</v>
      </c>
      <c r="C559" s="5" t="str">
        <f>"Прочие расходы от неосновной деятельности"</f>
        <v>Прочие расходы от неосновной деятельности</v>
      </c>
      <c r="D559" s="8"/>
      <c r="E559" s="8"/>
      <c r="F559" s="8"/>
      <c r="G559" s="6">
        <v>1586656106.77</v>
      </c>
    </row>
    <row r="560" spans="1:7" ht="15">
      <c r="A560" s="4">
        <v>45289</v>
      </c>
      <c r="B560" s="8">
        <v>5923</v>
      </c>
      <c r="C560" s="5" t="str">
        <f>"Расходы по аренде"</f>
        <v>Расходы по аренде</v>
      </c>
      <c r="D560" s="8"/>
      <c r="E560" s="8"/>
      <c r="F560" s="8"/>
      <c r="G560" s="6">
        <v>792516612.53</v>
      </c>
    </row>
    <row r="561" spans="1:7" ht="15">
      <c r="A561" s="4">
        <v>45289</v>
      </c>
      <c r="B561" s="8">
        <v>5999</v>
      </c>
      <c r="C561" s="5" t="str">
        <f>"Корпоративный подоходный налог"</f>
        <v>Корпоративный подоходный налог</v>
      </c>
      <c r="D561" s="8"/>
      <c r="E561" s="8"/>
      <c r="F561" s="8"/>
      <c r="G561" s="6">
        <v>5187587940.6</v>
      </c>
    </row>
    <row r="562" spans="1:7" ht="15">
      <c r="A562" s="4">
        <v>45289</v>
      </c>
      <c r="B562" s="8">
        <v>6055</v>
      </c>
      <c r="C562" s="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562" s="8"/>
      <c r="E562" s="8"/>
      <c r="F562" s="8"/>
      <c r="G562" s="6">
        <v>49551251538.61</v>
      </c>
    </row>
    <row r="563" spans="1:7" ht="15">
      <c r="A563" s="4">
        <v>45289</v>
      </c>
      <c r="B563" s="8">
        <v>6075</v>
      </c>
      <c r="C563" s="5" t="str">
        <f>"Возможные требования по принятым гарантиям"</f>
        <v>Возможные требования по принятым гарантиям</v>
      </c>
      <c r="D563" s="8"/>
      <c r="E563" s="8"/>
      <c r="F563" s="8"/>
      <c r="G563" s="6">
        <v>3406915237501.35</v>
      </c>
    </row>
    <row r="564" spans="1:7" ht="15">
      <c r="A564" s="4">
        <v>45289</v>
      </c>
      <c r="B564" s="8">
        <v>6105</v>
      </c>
      <c r="C564" s="5" t="str">
        <f>"Будущие требования по размещаемым вкладам"</f>
        <v>Будущие требования по размещаемым вкладам</v>
      </c>
      <c r="D564" s="8"/>
      <c r="E564" s="8"/>
      <c r="F564" s="8"/>
      <c r="G564" s="6">
        <v>300000000000</v>
      </c>
    </row>
    <row r="565" spans="1:7" ht="15">
      <c r="A565" s="4">
        <v>45289</v>
      </c>
      <c r="B565" s="8">
        <v>6126</v>
      </c>
      <c r="C565" s="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565" s="8"/>
      <c r="E565" s="8"/>
      <c r="F565" s="8"/>
      <c r="G565" s="6">
        <v>183988476292.45</v>
      </c>
    </row>
    <row r="566" spans="1:7" ht="15">
      <c r="A566" s="4">
        <v>45289</v>
      </c>
      <c r="B566" s="8">
        <v>6405</v>
      </c>
      <c r="C566" s="5" t="str">
        <f>"Условные требования по купле-продаже иностранной валюты"</f>
        <v>Условные требования по купле-продаже иностранной валюты</v>
      </c>
      <c r="D566" s="8"/>
      <c r="E566" s="8"/>
      <c r="F566" s="8"/>
      <c r="G566" s="6">
        <v>27502564200</v>
      </c>
    </row>
    <row r="567" spans="1:7" ht="15">
      <c r="A567" s="4">
        <v>45289</v>
      </c>
      <c r="B567" s="8">
        <v>6555</v>
      </c>
      <c r="C567" s="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567" s="8"/>
      <c r="E567" s="8"/>
      <c r="F567" s="8"/>
      <c r="G567" s="6">
        <v>49551251538.61</v>
      </c>
    </row>
    <row r="568" spans="1:7" ht="15">
      <c r="A568" s="4">
        <v>45289</v>
      </c>
      <c r="B568" s="8">
        <v>6575</v>
      </c>
      <c r="C568" s="5" t="str">
        <f>"Возможное уменьшение требований по принятым гарантиям"</f>
        <v>Возможное уменьшение требований по принятым гарантиям</v>
      </c>
      <c r="D568" s="8"/>
      <c r="E568" s="8"/>
      <c r="F568" s="8"/>
      <c r="G568" s="6">
        <v>3406915237501.35</v>
      </c>
    </row>
    <row r="569" spans="1:7" ht="15">
      <c r="A569" s="4">
        <v>45289</v>
      </c>
      <c r="B569" s="8">
        <v>6605</v>
      </c>
      <c r="C569" s="5" t="str">
        <f>"Условные обязательства по размещению вкладов в будущем"</f>
        <v>Условные обязательства по размещению вкладов в будущем</v>
      </c>
      <c r="D569" s="8"/>
      <c r="E569" s="8"/>
      <c r="F569" s="8"/>
      <c r="G569" s="6">
        <v>300000000000</v>
      </c>
    </row>
    <row r="570" spans="1:7" ht="15">
      <c r="A570" s="4">
        <v>45289</v>
      </c>
      <c r="B570" s="8">
        <v>6626</v>
      </c>
      <c r="C570" s="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570" s="8"/>
      <c r="E570" s="8"/>
      <c r="F570" s="8"/>
      <c r="G570" s="6">
        <v>183988476292.45</v>
      </c>
    </row>
    <row r="571" spans="1:7" ht="15">
      <c r="A571" s="4">
        <v>45289</v>
      </c>
      <c r="B571" s="8">
        <v>6905</v>
      </c>
      <c r="C571" s="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D571" s="8"/>
      <c r="E571" s="8"/>
      <c r="F571" s="8"/>
      <c r="G571" s="6">
        <v>27464831871.6</v>
      </c>
    </row>
    <row r="572" spans="1:7" ht="15">
      <c r="A572" s="4">
        <v>45289</v>
      </c>
      <c r="B572" s="8">
        <v>6999</v>
      </c>
      <c r="C572" s="5" t="str">
        <f>"Позиция по сделкам с иностранной валютой"</f>
        <v>Позиция по сделкам с иностранной валютой</v>
      </c>
      <c r="D572" s="8"/>
      <c r="E572" s="8"/>
      <c r="F572" s="8"/>
      <c r="G572" s="6">
        <v>37732328.4</v>
      </c>
    </row>
    <row r="573" spans="1:7" ht="15">
      <c r="A573" s="4">
        <v>45289</v>
      </c>
      <c r="B573" s="8">
        <v>7250</v>
      </c>
      <c r="C573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573" s="8"/>
      <c r="E573" s="8"/>
      <c r="F573" s="8"/>
      <c r="G573" s="6">
        <v>3179098806250.62</v>
      </c>
    </row>
    <row r="574" spans="1:7" ht="15">
      <c r="A574" s="4">
        <v>45289</v>
      </c>
      <c r="B574" s="8">
        <v>7303</v>
      </c>
      <c r="C574" s="5" t="str">
        <f>"Платежные документы, не оплаченные в срок"</f>
        <v>Платежные документы, не оплаченные в срок</v>
      </c>
      <c r="D574" s="8"/>
      <c r="E574" s="8"/>
      <c r="F574" s="8"/>
      <c r="G574" s="6">
        <v>2517831859351.21</v>
      </c>
    </row>
    <row r="575" spans="1:7" ht="15">
      <c r="A575" s="4">
        <v>45289</v>
      </c>
      <c r="B575" s="8">
        <v>7339</v>
      </c>
      <c r="C575" s="5" t="str">
        <f>"Разные ценности и документы"</f>
        <v>Разные ценности и документы</v>
      </c>
      <c r="D575" s="8"/>
      <c r="E575" s="8"/>
      <c r="F575" s="8"/>
      <c r="G575" s="6">
        <v>136801867969.51</v>
      </c>
    </row>
    <row r="576" spans="1:7" ht="15">
      <c r="A576" s="4">
        <v>45289</v>
      </c>
      <c r="B576" s="8">
        <v>7342</v>
      </c>
      <c r="C576" s="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576" s="8"/>
      <c r="E576" s="8"/>
      <c r="F576" s="8"/>
      <c r="G576" s="6">
        <v>1289</v>
      </c>
    </row>
    <row r="577" spans="1:7" ht="15">
      <c r="A577" s="4">
        <v>45289</v>
      </c>
      <c r="B577" s="8">
        <v>7360</v>
      </c>
      <c r="C577" s="5" t="str">
        <f>"Акции и другие ценные бумаги клиентов"</f>
        <v>Акции и другие ценные бумаги клиентов</v>
      </c>
      <c r="D577" s="8"/>
      <c r="E577" s="8"/>
      <c r="F577" s="8"/>
      <c r="G577" s="6">
        <v>229590661761.92</v>
      </c>
    </row>
    <row r="578" spans="1:7" ht="15">
      <c r="A578" s="4">
        <v>45289</v>
      </c>
      <c r="B578" s="8">
        <v>7363</v>
      </c>
      <c r="C578" s="5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D578" s="8"/>
      <c r="E578" s="8"/>
      <c r="F578" s="8"/>
      <c r="G578" s="6">
        <v>15316367305.42</v>
      </c>
    </row>
    <row r="579" spans="1:7" ht="15">
      <c r="A579" s="4">
        <v>45289</v>
      </c>
      <c r="B579" s="8">
        <v>7701</v>
      </c>
      <c r="C579" s="5" t="str">
        <f>"Ценные бумаги"</f>
        <v>Ценные бумаги</v>
      </c>
      <c r="D579" s="8"/>
      <c r="E579" s="8"/>
      <c r="F579" s="8"/>
      <c r="G579" s="6">
        <v>41701147.36</v>
      </c>
    </row>
  </sheetData>
  <sheetProtection/>
  <autoFilter ref="A4:H579">
    <sortState ref="A5:H579">
      <sortCondition sortBy="value" ref="B5:B579"/>
    </sortState>
  </autoFilter>
  <mergeCells count="2">
    <mergeCell ref="C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Анастасия</dc:creator>
  <cp:keywords/>
  <dc:description/>
  <cp:lastModifiedBy>Завьялова Анастасия</cp:lastModifiedBy>
  <dcterms:created xsi:type="dcterms:W3CDTF">2024-01-08T11:20:34Z</dcterms:created>
  <dcterms:modified xsi:type="dcterms:W3CDTF">2024-01-16T04:07:53Z</dcterms:modified>
  <cp:category/>
  <cp:version/>
  <cp:contentType/>
  <cp:contentStatus/>
</cp:coreProperties>
</file>