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05" windowHeight="9555" activeTab="0"/>
  </bookViews>
  <sheets>
    <sheet name="Баланс" sheetId="1" r:id="rId1"/>
    <sheet name="фхд" sheetId="2" r:id="rId2"/>
    <sheet name="капитал" sheetId="3" r:id="rId3"/>
    <sheet name="оддс" sheetId="4" r:id="rId4"/>
  </sheets>
  <externalReferences>
    <externalReference r:id="rId7"/>
    <externalReference r:id="rId8"/>
    <externalReference r:id="rId9"/>
  </externalReferences>
  <definedNames>
    <definedName name="AS2DocOpenMode" hidden="1">"AS2DocumentEdit"</definedName>
    <definedName name="AS2DocOpenMode_1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njh" localSheetId="0" hidden="1">{#N/A,#N/A,FALSE,"Aging Summary";#N/A,#N/A,FALSE,"Ratio Analysis";#N/A,#N/A,FALSE,"Test 120 Day Accts";#N/A,#N/A,FALSE,"Tickmarks"}</definedName>
    <definedName name="bnjh" localSheetId="2" hidden="1">{#N/A,#N/A,FALSE,"Aging Summary";#N/A,#N/A,FALSE,"Ratio Analysis";#N/A,#N/A,FALSE,"Test 120 Day Accts";#N/A,#N/A,FALSE,"Tickmarks"}</definedName>
    <definedName name="bnjh" localSheetId="3" hidden="1">{#N/A,#N/A,FALSE,"Aging Summary";#N/A,#N/A,FALSE,"Ratio Analysis";#N/A,#N/A,FALSE,"Test 120 Day Accts";#N/A,#N/A,FALSE,"Tickmarks"}</definedName>
    <definedName name="bnjh" localSheetId="1" hidden="1">{#N/A,#N/A,FALSE,"Aging Summary";#N/A,#N/A,FALSE,"Ratio Analysis";#N/A,#N/A,FALSE,"Test 120 Day Accts";#N/A,#N/A,FALSE,"Tickmarks"}</definedName>
    <definedName name="bnjh" hidden="1">{#N/A,#N/A,FALSE,"Aging Summary";#N/A,#N/A,FALSE,"Ratio Analysis";#N/A,#N/A,FALSE,"Test 120 Day Accts";#N/A,#N/A,FALSE,"Tickmarks"}</definedName>
    <definedName name="OLE_LINK8" localSheetId="3">'оддс'!$A$3</definedName>
    <definedName name="TextRefCopyRangeCount" hidden="1">54</definedName>
    <definedName name="TextRefCopyRangeCount_1" hidden="1">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localSheetId="2" hidden="1">{#N/A,#N/A,FALSE,"Aging Summary";#N/A,#N/A,FALSE,"Ratio Analysis";#N/A,#N/A,FALSE,"Test 120 Day Accts";#N/A,#N/A,FALSE,"Tickmarks"}</definedName>
    <definedName name="wrn.Aging._.and._.Trend._.Analysis._1" localSheetId="3" hidden="1">{#N/A,#N/A,FALSE,"Aging Summary";#N/A,#N/A,FALSE,"Ratio Analysis";#N/A,#N/A,FALSE,"Test 120 Day Accts";#N/A,#N/A,FALSE,"Tickmarks"}</definedName>
    <definedName name="wrn.Aging._.and._.Trend._.Analysis._1" localSheetId="1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XREF_COLUMN_1" hidden="1">'[1]DIT'!#REF!</definedName>
    <definedName name="XREF_COLUMN_2" hidden="1">'[2]Analysis COP'!#REF!</definedName>
    <definedName name="XRefActiveRow" hidden="1">#REF!</definedName>
    <definedName name="XRefColumnsCount" hidden="1">1</definedName>
    <definedName name="XRefCopy1Row" hidden="1">'[2]XREF'!#REF!</definedName>
    <definedName name="XRefCopy2Row" hidden="1">#REF!</definedName>
    <definedName name="XRefCopyRangeCount" hidden="1">3</definedName>
    <definedName name="XRefPaste2Row" hidden="1">'[2]XREF'!#REF!</definedName>
    <definedName name="XRefPasteRangeCount" hidden="1">3</definedName>
    <definedName name="люба" localSheetId="0" hidden="1">{#N/A,#N/A,FALSE,"Aging Summary";#N/A,#N/A,FALSE,"Ratio Analysis";#N/A,#N/A,FALSE,"Test 120 Day Accts";#N/A,#N/A,FALSE,"Tickmarks"}</definedName>
    <definedName name="люба" localSheetId="2" hidden="1">{#N/A,#N/A,FALSE,"Aging Summary";#N/A,#N/A,FALSE,"Ratio Analysis";#N/A,#N/A,FALSE,"Test 120 Day Accts";#N/A,#N/A,FALSE,"Tickmarks"}</definedName>
    <definedName name="люба" localSheetId="3" hidden="1">{#N/A,#N/A,FALSE,"Aging Summary";#N/A,#N/A,FALSE,"Ratio Analysis";#N/A,#N/A,FALSE,"Test 120 Day Accts";#N/A,#N/A,FALSE,"Tickmarks"}</definedName>
    <definedName name="люба" localSheetId="1" hidden="1">{#N/A,#N/A,FALSE,"Aging Summary";#N/A,#N/A,FALSE,"Ratio Analysis";#N/A,#N/A,FALSE,"Test 120 Day Accts";#N/A,#N/A,FALSE,"Tickmarks"}</definedName>
    <definedName name="люба" hidden="1">{#N/A,#N/A,FALSE,"Aging Summary";#N/A,#N/A,FALSE,"Ratio Analysis";#N/A,#N/A,FALSE,"Test 120 Day Accts";#N/A,#N/A,FALSE,"Tickmarks"}</definedName>
    <definedName name="рпгпшо" localSheetId="0" hidden="1">{#N/A,#N/A,FALSE,"Aging Summary";#N/A,#N/A,FALSE,"Ratio Analysis";#N/A,#N/A,FALSE,"Test 120 Day Accts";#N/A,#N/A,FALSE,"Tickmarks"}</definedName>
    <definedName name="рпгпшо" localSheetId="2" hidden="1">{#N/A,#N/A,FALSE,"Aging Summary";#N/A,#N/A,FALSE,"Ratio Analysis";#N/A,#N/A,FALSE,"Test 120 Day Accts";#N/A,#N/A,FALSE,"Tickmarks"}</definedName>
    <definedName name="рпгпшо" localSheetId="3" hidden="1">{#N/A,#N/A,FALSE,"Aging Summary";#N/A,#N/A,FALSE,"Ratio Analysis";#N/A,#N/A,FALSE,"Test 120 Day Accts";#N/A,#N/A,FALSE,"Tickmarks"}</definedName>
    <definedName name="рпгпшо" localSheetId="1" hidden="1">{#N/A,#N/A,FALSE,"Aging Summary";#N/A,#N/A,FALSE,"Ratio Analysis";#N/A,#N/A,FALSE,"Test 120 Day Accts";#N/A,#N/A,FALSE,"Tickmarks"}</definedName>
    <definedName name="рпгпшо" hidden="1">{#N/A,#N/A,FALSE,"Aging Summary";#N/A,#N/A,FALSE,"Ratio Analysis";#N/A,#N/A,FALSE,"Test 120 Day Accts";#N/A,#N/A,FALSE,"Tickmarks"}</definedName>
    <definedName name="рпргшг9" localSheetId="0" hidden="1">{#N/A,#N/A,FALSE,"Aging Summary";#N/A,#N/A,FALSE,"Ratio Analysis";#N/A,#N/A,FALSE,"Test 120 Day Accts";#N/A,#N/A,FALSE,"Tickmarks"}</definedName>
    <definedName name="рпргшг9" localSheetId="2" hidden="1">{#N/A,#N/A,FALSE,"Aging Summary";#N/A,#N/A,FALSE,"Ratio Analysis";#N/A,#N/A,FALSE,"Test 120 Day Accts";#N/A,#N/A,FALSE,"Tickmarks"}</definedName>
    <definedName name="рпргшг9" localSheetId="3" hidden="1">{#N/A,#N/A,FALSE,"Aging Summary";#N/A,#N/A,FALSE,"Ratio Analysis";#N/A,#N/A,FALSE,"Test 120 Day Accts";#N/A,#N/A,FALSE,"Tickmarks"}</definedName>
    <definedName name="рпргшг9" localSheetId="1" hidden="1">{#N/A,#N/A,FALSE,"Aging Summary";#N/A,#N/A,FALSE,"Ratio Analysis";#N/A,#N/A,FALSE,"Test 120 Day Accts";#N/A,#N/A,FALSE,"Tickmarks"}</definedName>
    <definedName name="рпргшг9" hidden="1">{#N/A,#N/A,FALSE,"Aging Summary";#N/A,#N/A,FALSE,"Ratio Analysis";#N/A,#N/A,FALSE,"Test 120 Day Accts";#N/A,#N/A,FALSE,"Tickmarks"}</definedName>
    <definedName name="юля" localSheetId="0" hidden="1">{#N/A,#N/A,FALSE,"Aging Summary";#N/A,#N/A,FALSE,"Ratio Analysis";#N/A,#N/A,FALSE,"Test 120 Day Accts";#N/A,#N/A,FALSE,"Tickmarks"}</definedName>
    <definedName name="юля" localSheetId="2" hidden="1">{#N/A,#N/A,FALSE,"Aging Summary";#N/A,#N/A,FALSE,"Ratio Analysis";#N/A,#N/A,FALSE,"Test 120 Day Accts";#N/A,#N/A,FALSE,"Tickmarks"}</definedName>
    <definedName name="юля" localSheetId="3" hidden="1">{#N/A,#N/A,FALSE,"Aging Summary";#N/A,#N/A,FALSE,"Ratio Analysis";#N/A,#N/A,FALSE,"Test 120 Day Accts";#N/A,#N/A,FALSE,"Tickmarks"}</definedName>
    <definedName name="юля" localSheetId="1" hidden="1">{#N/A,#N/A,FALSE,"Aging Summary";#N/A,#N/A,FALSE,"Ratio Analysis";#N/A,#N/A,FALSE,"Test 120 Day Accts";#N/A,#N/A,FALSE,"Tickmarks"}</definedName>
    <definedName name="юля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<sst xmlns="http://schemas.openxmlformats.org/spreadsheetml/2006/main" count="120" uniqueCount="112">
  <si>
    <t>АКТИВЫ</t>
  </si>
  <si>
    <t>Основные средства</t>
  </si>
  <si>
    <t>Нематериальные активы</t>
  </si>
  <si>
    <t>Прочие долгосрочные активы</t>
  </si>
  <si>
    <t>Итого долгосрочные активы</t>
  </si>
  <si>
    <t xml:space="preserve">Товарно-материальные запасы </t>
  </si>
  <si>
    <t>Переплата по подоходному налогу</t>
  </si>
  <si>
    <t xml:space="preserve">Налог на добавленную стоимость и прочие налоги к возмещению </t>
  </si>
  <si>
    <t>Денежные средства и их эквиваленты</t>
  </si>
  <si>
    <t>Итого краткосрочные активы</t>
  </si>
  <si>
    <t>Итого активы</t>
  </si>
  <si>
    <t xml:space="preserve">Акционерный капитал </t>
  </si>
  <si>
    <t xml:space="preserve">Дополнительный оплаченный капитал </t>
  </si>
  <si>
    <t>Прочий резервный капитал</t>
  </si>
  <si>
    <t>Нераспределенная прибыль</t>
  </si>
  <si>
    <t>Итого собственный капитал</t>
  </si>
  <si>
    <t>Долгосрочная кредиторская задолженность</t>
  </si>
  <si>
    <t>Итого долгосрочные обязательства</t>
  </si>
  <si>
    <t>Итого обязательства</t>
  </si>
  <si>
    <t>Выручка</t>
  </si>
  <si>
    <t>Себестоимость реализации</t>
  </si>
  <si>
    <t>Валовая прибыль</t>
  </si>
  <si>
    <t>Общие и административные расходы</t>
  </si>
  <si>
    <t>Расходы по реализации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</si>
  <si>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</si>
  <si>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</si>
  <si>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</si>
  <si>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</si>
  <si>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Прочий совокупный доход</t>
  </si>
  <si>
    <t>Статьи, которые впоследствии не будут реклассифицированы в состав прибылей или убытков</t>
  </si>
  <si>
    <t>Простые акции</t>
  </si>
  <si>
    <t>(в тысячах тенге)</t>
  </si>
  <si>
    <t>Уставный капитал</t>
  </si>
  <si>
    <t>Дополни-
тельный
оплаченный
капитал</t>
  </si>
  <si>
    <t>Нераспределенная
прибыль</t>
  </si>
  <si>
    <t>Итого</t>
  </si>
  <si>
    <t>Дивиденды</t>
  </si>
  <si>
    <t>В тысячах казахстанских тенге</t>
  </si>
  <si>
    <t>Реализация готовой продукции</t>
  </si>
  <si>
    <t>Платежи поставщикам и подрядчикам</t>
  </si>
  <si>
    <t>Выплаты по заработной плате</t>
  </si>
  <si>
    <t>Расчеты с бюджетом</t>
  </si>
  <si>
    <t>Получение займов</t>
  </si>
  <si>
    <t>Погашение займов</t>
  </si>
  <si>
    <t>Займы</t>
  </si>
  <si>
    <t>Резерв на рекультивацию</t>
  </si>
  <si>
    <t xml:space="preserve">Прочий совокупный доход за год </t>
  </si>
  <si>
    <t xml:space="preserve">Прибыль за год </t>
  </si>
  <si>
    <t xml:space="preserve">Балансовая стоимость простой акции, тенге
</t>
  </si>
  <si>
    <t>Балансовая стоимость привилегированной акции, тенге</t>
  </si>
  <si>
    <t>Прочие резервы</t>
  </si>
  <si>
    <t>Прочие операционные доходы</t>
  </si>
  <si>
    <t>Возмещение НДС с бюджета</t>
  </si>
  <si>
    <t>Прочие операционные  расходы</t>
  </si>
  <si>
    <t xml:space="preserve"> Совокупный доход за год</t>
  </si>
  <si>
    <t>Прибыль на акцию, базовая и разводненая (в тенге на акцию)</t>
  </si>
  <si>
    <t>\</t>
  </si>
  <si>
    <t xml:space="preserve">Прочий совокупный доход </t>
  </si>
  <si>
    <t>Выплата дивидендов за вычетом налога у источника</t>
  </si>
  <si>
    <t>Резерв по курсовым разницам</t>
  </si>
  <si>
    <t>30 .06.2021 г.</t>
  </si>
  <si>
    <t>31.12.2020 г.</t>
  </si>
  <si>
    <t>Активы в форме права пользования</t>
  </si>
  <si>
    <t>Инвестиции в  ассоциированную компанию</t>
  </si>
  <si>
    <t>Долгосрочные активы</t>
  </si>
  <si>
    <t xml:space="preserve">Текущие активы </t>
  </si>
  <si>
    <t xml:space="preserve">Дебиторская задолженность </t>
  </si>
  <si>
    <t>Капитал</t>
  </si>
  <si>
    <t>Капитал и обязательства</t>
  </si>
  <si>
    <t>Обязательства по аренде</t>
  </si>
  <si>
    <t>Обязательства по вознаграждениям работников</t>
  </si>
  <si>
    <t>Отложенное налоговое обязательство</t>
  </si>
  <si>
    <t>Текущие  обязательства:</t>
  </si>
  <si>
    <t xml:space="preserve">Долгосрочные обязательства: </t>
  </si>
  <si>
    <t>Краткосрочная кредиторская задолженность</t>
  </si>
  <si>
    <t>Налоги к уплате</t>
  </si>
  <si>
    <t>Итого текущие обязательства</t>
  </si>
  <si>
    <t>Итого  капитал и обязательства</t>
  </si>
  <si>
    <t>Консолидированный отчет о финансовом положении по состоянию на  30 июня 2021 года</t>
  </si>
  <si>
    <t>Консолидированный отчет о прибылях и убытках и прочем совокупном доходе за 1 полугодие   2021 года</t>
  </si>
  <si>
    <t>30 июня 2020 г</t>
  </si>
  <si>
    <t>30 июня 2021 г</t>
  </si>
  <si>
    <t>Доля в результатах ассоциированной компаний</t>
  </si>
  <si>
    <t>Расходы по корпоративному подоходному налогу</t>
  </si>
  <si>
    <t xml:space="preserve">ПРИБЫЛЬ </t>
  </si>
  <si>
    <t xml:space="preserve">ИТОГО СОВОКУПНЫЙ ДОХОД </t>
  </si>
  <si>
    <t>Консолидированный отчет об изменениях в капитале за 1 полугодие 2021 года</t>
  </si>
  <si>
    <t xml:space="preserve">На 1 января 2020 года </t>
  </si>
  <si>
    <t>На 31 декабря 2020 года</t>
  </si>
  <si>
    <t>Прибыль за 1полугодие 2021 г</t>
  </si>
  <si>
    <t>На 30 июня 2021 года</t>
  </si>
  <si>
    <t>Консолидированный  отчет о движении денежных средств за 1 полугодие  2021 года</t>
  </si>
  <si>
    <t>Прочие поступления</t>
  </si>
  <si>
    <t>Денежные потоки от операционной деятельности</t>
  </si>
  <si>
    <t>Подоходный налог уплаченный</t>
  </si>
  <si>
    <t>Проценты уплаченные</t>
  </si>
  <si>
    <t>Прочие выплаты</t>
  </si>
  <si>
    <t>Чистое поступление денежных средств от операционной деятельности</t>
  </si>
  <si>
    <t>Реализация основных средств</t>
  </si>
  <si>
    <t>Приобретение основных средств и нематериальных активов</t>
  </si>
  <si>
    <t>Дополнительный вклад в уставный капитал ассоциированной компании</t>
  </si>
  <si>
    <t>Увеличение/(уменьшение) денежных средств, ограниченных в использовании</t>
  </si>
  <si>
    <t>Чистое поступление/ (расходование) денежных средств в инвестиционной деятельности</t>
  </si>
  <si>
    <t>Денежные потоки от финансовой деятельности</t>
  </si>
  <si>
    <t>Погашение обязательств по аренде</t>
  </si>
  <si>
    <t>-</t>
  </si>
  <si>
    <t xml:space="preserve">Чистое поступление/(расходование) денежных средств </t>
  </si>
  <si>
    <t>в финансовой деятельности</t>
  </si>
  <si>
    <t>Эффект изменения обменного курса валют на денежные средства и их эквиваленты</t>
  </si>
  <si>
    <t>Чистое изменение денежных средств</t>
  </si>
  <si>
    <t>Денежные средства на начало года</t>
  </si>
  <si>
    <t>Денежные средства на конец года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</si>
</sst>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_);_(* \(#,##0\);_(* &quot;-&quot;_);_(@_)"/>
    <numFmt numFmtId="175" formatCode="_(* #,##0.00_);_(* \(#,##0.00\);_(* &quot;-&quot;??_);_(@_)"/>
    <numFmt numFmtId="176" formatCode="_ * #,##0.00_ ;_ * \-#,##0.00_ ;_ * &quot;-&quot;??_ ;_ @_ "/>
    <numFmt numFmtId="177" formatCode="_ * #,##0.0_ ;_ * \-#,##0.0_ ;_ * &quot;-&quot;??_ ;_ @_ "/>
    <numFmt numFmtId="178" formatCode="_(* #,##0_);_(* \(#,##0\);_(* &quot;-&quot;??_);_(@_)"/>
    <numFmt numFmtId="179" formatCode="_(\ #,##0.00_);\(\ #,##0.00\);_(* &quot;-&quot;_)"/>
    <numFmt numFmtId="180" formatCode="_(\ #,##0.00_);\(\ #,##0.00\)"/>
    <numFmt numFmtId="181" formatCode="* \(#,##0\);* #,##0_);&quot;-&quot;??_);@"/>
    <numFmt numFmtId="182" formatCode="* #,##0_);* \(#,##0\);&quot;-&quot;??_);@"/>
    <numFmt numFmtId="183" formatCode="0%_);\(0%\)"/>
    <numFmt numFmtId="184" formatCode="_-* #,##0\ _$_-;\-* #,##0\ _$_-;_-* &quot;-&quot;\ _$_-;_-@_-"/>
    <numFmt numFmtId="185" formatCode="_-* #,##0.00\ _$_-;\-* #,##0.00\ _$_-;_-* &quot;-&quot;??\ _$_-;_-@_-"/>
    <numFmt numFmtId="186" formatCode="_(* #,##0.00_);_(* \(#,##0.00\);_(* &quot;-&quot;_);_(@_)"/>
    <numFmt numFmtId="187" formatCode="_-* #,##0_р_._-;\-* #,##0_р_._-;_-* &quot;-&quot;??_р_._-;_-@_-"/>
    <numFmt numFmtId="188" formatCode="_ * #,##0_ ;_ * \-#,##0_ ;_ * &quot;-&quot;??_ ;_ @_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#,##0.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13" formatCode="dddd\,\ mmmm\ dd\,\ yyyy"/>
    <numFmt numFmtId="214" formatCode="_ * #,##0.000_ ;_ * \-#,##0.000_ ;_ * &quot;-&quot;??_ ;_ @_ "/>
    <numFmt numFmtId="215" formatCode="_ * #,##0.0000_ ;_ * \-#,##0.0000_ ;_ * &quot;-&quot;??_ ;_ @_ "/>
    <numFmt numFmtId="216" formatCode="_(* #,##0.0_);_(* \(#,##0.0\);_(* &quot;-&quot;??_);_(@_)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Univers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ck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1" fontId="5" fillId="0" borderId="0" applyFill="0" applyBorder="0" applyProtection="0">
      <alignment/>
    </xf>
    <xf numFmtId="181" fontId="5" fillId="0" borderId="1" applyFill="0" applyProtection="0">
      <alignment/>
    </xf>
    <xf numFmtId="181" fontId="5" fillId="0" borderId="2" applyFill="0" applyProtection="0">
      <alignment/>
    </xf>
    <xf numFmtId="182" fontId="5" fillId="0" borderId="0" applyFill="0" applyBorder="0" applyProtection="0">
      <alignment/>
    </xf>
    <xf numFmtId="182" fontId="5" fillId="0" borderId="1" applyFill="0" applyProtection="0">
      <alignment/>
    </xf>
    <xf numFmtId="182" fontId="5" fillId="0" borderId="2" applyFill="0" applyProtection="0">
      <alignment/>
    </xf>
    <xf numFmtId="14" fontId="6" fillId="6" borderId="3">
      <alignment horizontal="center" vertical="center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8" fillId="0" borderId="0" applyFill="0" applyBorder="0" applyProtection="0">
      <alignment horizontal="left" vertical="top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7" borderId="4" applyNumberFormat="0" applyAlignment="0" applyProtection="0"/>
    <xf numFmtId="0" fontId="10" fillId="15" borderId="5" applyNumberFormat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17" fillId="16" borderId="10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74" fontId="0" fillId="0" borderId="0" xfId="0" applyNumberFormat="1" applyFill="1" applyAlignment="1">
      <alignment/>
    </xf>
    <xf numFmtId="174" fontId="30" fillId="0" borderId="0" xfId="0" applyNumberFormat="1" applyFont="1" applyFill="1" applyAlignment="1">
      <alignment vertical="center"/>
    </xf>
    <xf numFmtId="174" fontId="27" fillId="0" borderId="0" xfId="0" applyNumberFormat="1" applyFont="1" applyFill="1" applyAlignment="1">
      <alignment vertical="center"/>
    </xf>
    <xf numFmtId="174" fontId="31" fillId="0" borderId="3" xfId="0" applyNumberFormat="1" applyFont="1" applyFill="1" applyBorder="1" applyAlignment="1">
      <alignment vertical="center"/>
    </xf>
    <xf numFmtId="174" fontId="31" fillId="0" borderId="0" xfId="0" applyNumberFormat="1" applyFont="1" applyFill="1" applyAlignment="1">
      <alignment/>
    </xf>
    <xf numFmtId="174" fontId="32" fillId="0" borderId="3" xfId="0" applyNumberFormat="1" applyFont="1" applyFill="1" applyBorder="1" applyAlignment="1">
      <alignment vertical="center"/>
    </xf>
    <xf numFmtId="174" fontId="31" fillId="0" borderId="13" xfId="0" applyNumberFormat="1" applyFont="1" applyFill="1" applyBorder="1" applyAlignment="1">
      <alignment vertical="center"/>
    </xf>
    <xf numFmtId="174" fontId="33" fillId="0" borderId="0" xfId="0" applyNumberFormat="1" applyFont="1" applyFill="1" applyAlignment="1">
      <alignment vertical="center"/>
    </xf>
    <xf numFmtId="0" fontId="30" fillId="0" borderId="3" xfId="0" applyNumberFormat="1" applyFont="1" applyFill="1" applyBorder="1" applyAlignment="1">
      <alignment horizontal="right" vertical="center" wrapText="1"/>
    </xf>
    <xf numFmtId="174" fontId="26" fillId="0" borderId="0" xfId="0" applyNumberFormat="1" applyFont="1" applyFill="1" applyBorder="1" applyAlignment="1">
      <alignment vertical="center"/>
    </xf>
    <xf numFmtId="174" fontId="27" fillId="0" borderId="0" xfId="0" applyNumberFormat="1" applyFont="1" applyFill="1" applyBorder="1" applyAlignment="1">
      <alignment vertical="center"/>
    </xf>
    <xf numFmtId="174" fontId="27" fillId="0" borderId="0" xfId="0" applyNumberFormat="1" applyFont="1" applyFill="1" applyAlignment="1">
      <alignment vertical="center" wrapText="1"/>
    </xf>
    <xf numFmtId="174" fontId="0" fillId="0" borderId="0" xfId="0" applyNumberFormat="1" applyFill="1" applyAlignment="1">
      <alignment wrapText="1"/>
    </xf>
    <xf numFmtId="174" fontId="27" fillId="0" borderId="0" xfId="0" applyNumberFormat="1" applyFont="1" applyAlignment="1">
      <alignment/>
    </xf>
    <xf numFmtId="174" fontId="33" fillId="0" borderId="3" xfId="0" applyNumberFormat="1" applyFont="1" applyBorder="1" applyAlignment="1">
      <alignment vertical="center" wrapText="1"/>
    </xf>
    <xf numFmtId="174" fontId="30" fillId="0" borderId="3" xfId="0" applyNumberFormat="1" applyFont="1" applyBorder="1" applyAlignment="1">
      <alignment horizontal="right" wrapText="1"/>
    </xf>
    <xf numFmtId="174" fontId="30" fillId="0" borderId="3" xfId="0" applyNumberFormat="1" applyFont="1" applyBorder="1" applyAlignment="1">
      <alignment horizontal="right" vertical="center" wrapText="1"/>
    </xf>
    <xf numFmtId="174" fontId="30" fillId="0" borderId="0" xfId="0" applyNumberFormat="1" applyFont="1" applyAlignment="1">
      <alignment vertical="center" wrapText="1"/>
    </xf>
    <xf numFmtId="174" fontId="27" fillId="0" borderId="0" xfId="0" applyNumberFormat="1" applyFont="1" applyAlignment="1">
      <alignment vertical="center" wrapText="1"/>
    </xf>
    <xf numFmtId="174" fontId="32" fillId="0" borderId="0" xfId="0" applyNumberFormat="1" applyFont="1" applyAlignment="1">
      <alignment vertical="center" wrapText="1"/>
    </xf>
    <xf numFmtId="174" fontId="31" fillId="0" borderId="0" xfId="0" applyNumberFormat="1" applyFont="1" applyAlignment="1">
      <alignment vertical="center" wrapText="1"/>
    </xf>
    <xf numFmtId="174" fontId="31" fillId="0" borderId="0" xfId="0" applyNumberFormat="1" applyFont="1" applyAlignment="1">
      <alignment/>
    </xf>
    <xf numFmtId="174" fontId="30" fillId="0" borderId="0" xfId="0" applyNumberFormat="1" applyFont="1" applyAlignment="1">
      <alignment/>
    </xf>
    <xf numFmtId="174" fontId="31" fillId="0" borderId="3" xfId="0" applyNumberFormat="1" applyFont="1" applyBorder="1" applyAlignment="1">
      <alignment vertical="center" wrapText="1"/>
    </xf>
    <xf numFmtId="174" fontId="27" fillId="0" borderId="0" xfId="0" applyNumberFormat="1" applyFont="1" applyAlignment="1">
      <alignment vertical="center"/>
    </xf>
    <xf numFmtId="174" fontId="34" fillId="0" borderId="0" xfId="0" applyNumberFormat="1" applyFont="1" applyAlignment="1">
      <alignment/>
    </xf>
    <xf numFmtId="174" fontId="27" fillId="0" borderId="0" xfId="0" applyNumberFormat="1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right" vertical="top" wrapText="1"/>
    </xf>
    <xf numFmtId="174" fontId="30" fillId="0" borderId="0" xfId="0" applyNumberFormat="1" applyFont="1" applyAlignment="1">
      <alignment horizontal="center"/>
    </xf>
    <xf numFmtId="0" fontId="30" fillId="0" borderId="1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74" fontId="27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 wrapText="1"/>
    </xf>
    <xf numFmtId="0" fontId="27" fillId="0" borderId="3" xfId="0" applyFont="1" applyBorder="1" applyAlignment="1">
      <alignment wrapText="1"/>
    </xf>
    <xf numFmtId="0" fontId="30" fillId="0" borderId="3" xfId="0" applyFont="1" applyBorder="1" applyAlignment="1">
      <alignment wrapText="1"/>
    </xf>
    <xf numFmtId="174" fontId="34" fillId="0" borderId="0" xfId="0" applyNumberFormat="1" applyFont="1" applyAlignment="1">
      <alignment/>
    </xf>
    <xf numFmtId="174" fontId="27" fillId="0" borderId="0" xfId="76" applyNumberFormat="1" applyFont="1" applyFill="1" applyAlignment="1">
      <alignment/>
      <protection/>
    </xf>
    <xf numFmtId="174" fontId="29" fillId="0" borderId="0" xfId="76" applyNumberFormat="1" applyFont="1" applyFill="1" applyAlignment="1">
      <alignment vertical="center"/>
      <protection/>
    </xf>
    <xf numFmtId="174" fontId="30" fillId="0" borderId="0" xfId="76" applyNumberFormat="1" applyFont="1" applyFill="1" applyAlignment="1">
      <alignment horizontal="right" vertical="center"/>
      <protection/>
    </xf>
    <xf numFmtId="174" fontId="0" fillId="0" borderId="0" xfId="76" applyNumberFormat="1" applyFill="1" applyAlignment="1">
      <alignment/>
      <protection/>
    </xf>
    <xf numFmtId="174" fontId="30" fillId="0" borderId="0" xfId="76" applyNumberFormat="1" applyFont="1" applyFill="1" applyAlignment="1">
      <alignment vertical="center"/>
      <protection/>
    </xf>
    <xf numFmtId="174" fontId="27" fillId="0" borderId="0" xfId="76" applyNumberFormat="1" applyFont="1" applyFill="1" applyAlignment="1">
      <alignment vertical="center"/>
      <protection/>
    </xf>
    <xf numFmtId="174" fontId="31" fillId="0" borderId="3" xfId="76" applyNumberFormat="1" applyFont="1" applyFill="1" applyBorder="1" applyAlignment="1">
      <alignment vertical="center"/>
      <protection/>
    </xf>
    <xf numFmtId="174" fontId="31" fillId="0" borderId="0" xfId="76" applyNumberFormat="1" applyFont="1" applyFill="1" applyAlignment="1">
      <alignment/>
      <protection/>
    </xf>
    <xf numFmtId="174" fontId="27" fillId="0" borderId="14" xfId="76" applyNumberFormat="1" applyFont="1" applyFill="1" applyBorder="1" applyAlignment="1">
      <alignment vertical="center"/>
      <protection/>
    </xf>
    <xf numFmtId="174" fontId="32" fillId="0" borderId="3" xfId="76" applyNumberFormat="1" applyFont="1" applyFill="1" applyBorder="1" applyAlignment="1">
      <alignment vertical="center"/>
      <protection/>
    </xf>
    <xf numFmtId="174" fontId="30" fillId="0" borderId="14" xfId="76" applyNumberFormat="1" applyFont="1" applyFill="1" applyBorder="1" applyAlignment="1">
      <alignment vertical="center"/>
      <protection/>
    </xf>
    <xf numFmtId="174" fontId="31" fillId="0" borderId="13" xfId="76" applyNumberFormat="1" applyFont="1" applyFill="1" applyBorder="1" applyAlignment="1">
      <alignment vertical="center"/>
      <protection/>
    </xf>
    <xf numFmtId="174" fontId="27" fillId="0" borderId="15" xfId="76" applyNumberFormat="1" applyFont="1" applyFill="1" applyBorder="1" applyAlignment="1">
      <alignment vertical="center"/>
      <protection/>
    </xf>
    <xf numFmtId="174" fontId="31" fillId="0" borderId="3" xfId="76" applyNumberFormat="1" applyFont="1" applyFill="1" applyBorder="1" applyAlignment="1">
      <alignment horizontal="right" vertical="center"/>
      <protection/>
    </xf>
    <xf numFmtId="174" fontId="27" fillId="0" borderId="0" xfId="76" applyNumberFormat="1" applyFont="1" applyFill="1" applyAlignment="1">
      <alignment horizontal="right" vertical="center"/>
      <protection/>
    </xf>
    <xf numFmtId="174" fontId="31" fillId="0" borderId="0" xfId="76" applyNumberFormat="1" applyFont="1" applyFill="1" applyAlignment="1">
      <alignment horizontal="right" vertical="center"/>
      <protection/>
    </xf>
    <xf numFmtId="174" fontId="27" fillId="0" borderId="14" xfId="76" applyNumberFormat="1" applyFont="1" applyFill="1" applyBorder="1" applyAlignment="1">
      <alignment horizontal="right" vertical="center"/>
      <protection/>
    </xf>
    <xf numFmtId="174" fontId="32" fillId="0" borderId="13" xfId="76" applyNumberFormat="1" applyFont="1" applyFill="1" applyBorder="1" applyAlignment="1">
      <alignment vertical="center"/>
      <protection/>
    </xf>
    <xf numFmtId="174" fontId="32" fillId="0" borderId="13" xfId="76" applyNumberFormat="1" applyFont="1" applyFill="1" applyBorder="1" applyAlignment="1">
      <alignment horizontal="right" vertical="center"/>
      <protection/>
    </xf>
    <xf numFmtId="174" fontId="27" fillId="0" borderId="0" xfId="76" applyNumberFormat="1" applyFont="1" applyAlignment="1">
      <alignment horizontal="left"/>
      <protection/>
    </xf>
    <xf numFmtId="174" fontId="27" fillId="0" borderId="0" xfId="76" applyNumberFormat="1" applyFont="1" applyFill="1" applyAlignment="1">
      <alignment/>
      <protection/>
    </xf>
    <xf numFmtId="188" fontId="27" fillId="0" borderId="0" xfId="86" applyNumberFormat="1" applyFont="1" applyAlignment="1">
      <alignment wrapText="1"/>
    </xf>
    <xf numFmtId="174" fontId="27" fillId="0" borderId="0" xfId="76" applyNumberFormat="1" applyFont="1" applyFill="1" applyAlignment="1">
      <alignment horizontal="left" wrapText="1"/>
      <protection/>
    </xf>
    <xf numFmtId="174" fontId="27" fillId="18" borderId="0" xfId="76" applyNumberFormat="1" applyFont="1" applyFill="1" applyAlignment="1">
      <alignment/>
      <protection/>
    </xf>
    <xf numFmtId="174" fontId="30" fillId="0" borderId="0" xfId="0" applyNumberFormat="1" applyFont="1" applyFill="1" applyAlignment="1">
      <alignment horizontal="center" vertical="center"/>
    </xf>
    <xf numFmtId="3" fontId="27" fillId="0" borderId="0" xfId="0" applyNumberFormat="1" applyFont="1" applyAlignment="1">
      <alignment horizontal="right" wrapText="1"/>
    </xf>
    <xf numFmtId="174" fontId="36" fillId="0" borderId="0" xfId="0" applyNumberFormat="1" applyFont="1" applyAlignment="1">
      <alignment/>
    </xf>
    <xf numFmtId="174" fontId="27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174" fontId="31" fillId="0" borderId="0" xfId="0" applyNumberFormat="1" applyFont="1" applyBorder="1" applyAlignment="1">
      <alignment vertical="center" wrapText="1"/>
    </xf>
    <xf numFmtId="174" fontId="30" fillId="0" borderId="0" xfId="0" applyNumberFormat="1" applyFont="1" applyAlignment="1">
      <alignment/>
    </xf>
    <xf numFmtId="174" fontId="27" fillId="0" borderId="16" xfId="0" applyNumberFormat="1" applyFont="1" applyBorder="1" applyAlignment="1">
      <alignment vertical="center" wrapText="1"/>
    </xf>
    <xf numFmtId="0" fontId="28" fillId="0" borderId="0" xfId="76" applyNumberFormat="1" applyFont="1" applyAlignment="1">
      <alignment wrapText="1"/>
      <protection/>
    </xf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78" fontId="30" fillId="0" borderId="0" xfId="0" applyNumberFormat="1" applyFont="1" applyAlignment="1">
      <alignment wrapText="1"/>
    </xf>
    <xf numFmtId="0" fontId="27" fillId="0" borderId="16" xfId="0" applyFont="1" applyBorder="1" applyAlignment="1">
      <alignment wrapText="1"/>
    </xf>
    <xf numFmtId="3" fontId="27" fillId="0" borderId="16" xfId="0" applyNumberFormat="1" applyFont="1" applyBorder="1" applyAlignment="1">
      <alignment wrapText="1"/>
    </xf>
    <xf numFmtId="174" fontId="27" fillId="0" borderId="0" xfId="0" applyNumberFormat="1" applyFont="1" applyAlignment="1">
      <alignment vertical="center" wrapText="1"/>
    </xf>
  </cellXfs>
  <cellStyles count="8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266.2 TB-TS-FS 6m 2006 in KZT" xfId="15"/>
    <cellStyle name="_Worksheet in (C) 2272 IFRS 7 -disclosure" xfId="16"/>
    <cellStyle name="_Worksheet in 5350 Aging analysis 31 12 2006 UPDATE-2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Comma 2" xfId="36"/>
    <cellStyle name="Comma 3" xfId="37"/>
    <cellStyle name="Credit" xfId="38"/>
    <cellStyle name="Credit subtotal" xfId="39"/>
    <cellStyle name="Credit Total" xfId="40"/>
    <cellStyle name="Debit" xfId="41"/>
    <cellStyle name="Debit subtotal" xfId="42"/>
    <cellStyle name="Debit Total" xfId="43"/>
    <cellStyle name="Heading" xfId="44"/>
    <cellStyle name="Normal 2" xfId="45"/>
    <cellStyle name="Normal 2 2" xfId="46"/>
    <cellStyle name="Normal 2_Book8" xfId="47"/>
    <cellStyle name="Normal 3" xfId="48"/>
    <cellStyle name="Normal 6" xfId="49"/>
    <cellStyle name="Normal_SHEET" xfId="50"/>
    <cellStyle name="Percent (0)" xfId="51"/>
    <cellStyle name="Standard_acc-report-ias" xfId="52"/>
    <cellStyle name="Style 1" xfId="53"/>
    <cellStyle name="Tickmark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АНДАГАЧ тел3-33-96" xfId="72"/>
    <cellStyle name="Контрольная ячейка" xfId="73"/>
    <cellStyle name="Название" xfId="74"/>
    <cellStyle name="Нейтральный" xfId="75"/>
    <cellStyle name="Обычный_ФО Формы для заполнения 3 кв 201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01.02.98" xfId="84"/>
    <cellStyle name="Тысячи_01.02.98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67.2%20TB-TS-FS%20APC%202006%20new%20updated%20FINAL,%20REFERENCED%20TO%20ISSUED%20REPOR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246%20Production%20cost%20-%20analytical%20procedure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2;&#1085;&#1089;&#1092;&#1086;&#1088;&#1084;&#1072;&#1094;&#1080;&#1086;&#1085;&#1085;&#1099;&#1077;%20&#1090;&#1072;&#1073;&#1083;&#1080;&#1094;&#1099;%201%20&#1082;&#107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Analysis COP"/>
      <sheetName val="COS"/>
      <sheetName val="12-1"/>
      <sheetName val="Excess Calc"/>
      <sheetName val="Threshold Calc"/>
      <sheetName val="13-1"/>
      <sheetName val="IFRS Disclosure"/>
      <sheetName val="Свод с нг(2003)-PBC"/>
      <sheetName val="Свод с нг(2002)-PBC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Transf_STM"/>
      <sheetName val="ОСБ 1 КВ-2015г"/>
      <sheetName val="Transf_UKTMP"/>
      <sheetName val="Кор.вх.с-до"/>
      <sheetName val="CY AJE_UKTMP2014"/>
      <sheetName val="CY AJE_STM"/>
      <sheetName val="Cons Transf"/>
      <sheetName val="CB Elimation AJE"/>
      <sheetName val="CB Elimation AJE 2008"/>
      <sheetName val="OB AJE_UKTMP"/>
      <sheetName val="OB Elimations"/>
      <sheetName val="CY RJE_UKTMP"/>
      <sheetName val="Client OB AJE_UKTMP"/>
      <sheetName val="Sheet1"/>
      <sheetName val="CY RJE_STM"/>
      <sheetName val="Tickmarks"/>
    </sheetNames>
    <sheetDataSet>
      <sheetData sheetId="0">
        <row r="33">
          <cell r="N33">
            <v>-159987.66619000002</v>
          </cell>
        </row>
        <row r="34">
          <cell r="N34">
            <v>-1282400.8450000002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5"/>
  <sheetViews>
    <sheetView showGridLines="0" tabSelected="1" zoomScale="90" zoomScaleNormal="90" zoomScalePageLayoutView="0" workbookViewId="0" topLeftCell="A1">
      <pane xSplit="1" ySplit="2" topLeftCell="B3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B10" sqref="B10"/>
    </sheetView>
  </sheetViews>
  <sheetFormatPr defaultColWidth="9.140625" defaultRowHeight="12.75"/>
  <cols>
    <col min="1" max="1" width="59.7109375" style="61" customWidth="1"/>
    <col min="2" max="2" width="17.00390625" style="44" customWidth="1"/>
    <col min="3" max="3" width="19.421875" style="44" customWidth="1"/>
    <col min="4" max="16384" width="9.140625" style="44" customWidth="1"/>
  </cols>
  <sheetData>
    <row r="1" spans="1:3" s="41" customFormat="1" ht="48.75" customHeight="1">
      <c r="A1" s="73" t="s">
        <v>78</v>
      </c>
      <c r="B1" s="74"/>
      <c r="C1" s="74"/>
    </row>
    <row r="2" spans="1:3" ht="12.75">
      <c r="A2" s="42"/>
      <c r="B2" s="43" t="s">
        <v>60</v>
      </c>
      <c r="C2" s="43" t="s">
        <v>61</v>
      </c>
    </row>
    <row r="3" spans="1:3" ht="12.75">
      <c r="A3" s="42"/>
      <c r="B3" s="45"/>
      <c r="C3" s="45"/>
    </row>
    <row r="4" spans="1:3" ht="12.75">
      <c r="A4" s="45" t="s">
        <v>0</v>
      </c>
      <c r="B4" s="46"/>
      <c r="C4" s="46"/>
    </row>
    <row r="5" spans="1:3" ht="12.75">
      <c r="A5" s="45" t="s">
        <v>64</v>
      </c>
      <c r="B5" s="46"/>
      <c r="C5" s="46"/>
    </row>
    <row r="6" spans="1:3" ht="12.75">
      <c r="A6" s="46" t="s">
        <v>1</v>
      </c>
      <c r="B6" s="46">
        <v>70450336</v>
      </c>
      <c r="C6" s="46">
        <v>68869636</v>
      </c>
    </row>
    <row r="7" spans="1:3" ht="12.75">
      <c r="A7" s="46" t="s">
        <v>2</v>
      </c>
      <c r="B7" s="46">
        <v>1269373</v>
      </c>
      <c r="C7" s="46">
        <v>1150443</v>
      </c>
    </row>
    <row r="8" spans="1:3" ht="12.75">
      <c r="A8" s="46" t="s">
        <v>62</v>
      </c>
      <c r="B8" s="46">
        <v>296592</v>
      </c>
      <c r="C8" s="46">
        <v>301688</v>
      </c>
    </row>
    <row r="9" spans="1:3" ht="12.75">
      <c r="A9" s="46" t="s">
        <v>63</v>
      </c>
      <c r="B9" s="46">
        <v>1361650</v>
      </c>
      <c r="C9" s="46">
        <v>1100980</v>
      </c>
    </row>
    <row r="10" spans="1:3" ht="12.75">
      <c r="A10" s="46" t="s">
        <v>3</v>
      </c>
      <c r="B10" s="46">
        <v>788703</v>
      </c>
      <c r="C10" s="46">
        <v>867880</v>
      </c>
    </row>
    <row r="11" spans="1:3" s="48" customFormat="1" ht="6.75" thickBot="1">
      <c r="A11" s="47"/>
      <c r="B11" s="47"/>
      <c r="C11" s="47"/>
    </row>
    <row r="12" spans="1:3" ht="12.75">
      <c r="A12" s="46"/>
      <c r="B12" s="46"/>
      <c r="C12" s="46"/>
    </row>
    <row r="13" spans="1:3" ht="12.75">
      <c r="A13" s="45" t="s">
        <v>4</v>
      </c>
      <c r="B13" s="45">
        <f>SUM(B6:B12)</f>
        <v>74166654</v>
      </c>
      <c r="C13" s="45">
        <f>SUM(C6:C12)</f>
        <v>72290627</v>
      </c>
    </row>
    <row r="14" spans="1:3" s="48" customFormat="1" ht="6.75" thickBot="1">
      <c r="A14" s="47"/>
      <c r="B14" s="47"/>
      <c r="C14" s="47"/>
    </row>
    <row r="15" spans="1:3" ht="12.75">
      <c r="A15" s="45" t="s">
        <v>65</v>
      </c>
      <c r="B15" s="46"/>
      <c r="C15" s="46"/>
    </row>
    <row r="16" spans="1:3" ht="12.75">
      <c r="A16" s="46" t="s">
        <v>5</v>
      </c>
      <c r="B16" s="46">
        <v>47830466</v>
      </c>
      <c r="C16" s="46">
        <v>45204057</v>
      </c>
    </row>
    <row r="17" spans="1:3" ht="12.75">
      <c r="A17" s="46" t="s">
        <v>66</v>
      </c>
      <c r="B17" s="46">
        <v>32312054</v>
      </c>
      <c r="C17" s="46">
        <v>17577745</v>
      </c>
    </row>
    <row r="18" spans="1:3" ht="12.75">
      <c r="A18" s="46" t="s">
        <v>6</v>
      </c>
      <c r="B18" s="46">
        <v>1052623</v>
      </c>
      <c r="C18" s="46">
        <v>546647</v>
      </c>
    </row>
    <row r="19" spans="1:3" ht="12.75">
      <c r="A19" s="46" t="s">
        <v>7</v>
      </c>
      <c r="B19" s="46">
        <v>4611519</v>
      </c>
      <c r="C19" s="46">
        <v>5637099</v>
      </c>
    </row>
    <row r="20" spans="1:3" ht="12.75">
      <c r="A20" s="46" t="s">
        <v>8</v>
      </c>
      <c r="B20" s="46">
        <v>2906560</v>
      </c>
      <c r="C20" s="46">
        <v>3323707</v>
      </c>
    </row>
    <row r="21" spans="1:3" s="48" customFormat="1" ht="6.75" thickBot="1">
      <c r="A21" s="47"/>
      <c r="B21" s="47"/>
      <c r="C21" s="47"/>
    </row>
    <row r="22" spans="1:3" ht="12.75">
      <c r="A22" s="49"/>
      <c r="B22" s="46"/>
      <c r="C22" s="46"/>
    </row>
    <row r="23" spans="1:3" ht="12.75">
      <c r="A23" s="45" t="s">
        <v>9</v>
      </c>
      <c r="B23" s="45">
        <f>SUM(B16:B22)</f>
        <v>88713222</v>
      </c>
      <c r="C23" s="45">
        <f>SUM(C16:C22)</f>
        <v>72289255</v>
      </c>
    </row>
    <row r="24" spans="1:3" s="48" customFormat="1" ht="6.75" thickBot="1">
      <c r="A24" s="50"/>
      <c r="B24" s="50"/>
      <c r="C24" s="50"/>
    </row>
    <row r="25" spans="1:3" ht="12.75">
      <c r="A25" s="51"/>
      <c r="B25" s="45"/>
      <c r="C25" s="45"/>
    </row>
    <row r="26" spans="1:3" ht="12.75">
      <c r="A26" s="45" t="s">
        <v>10</v>
      </c>
      <c r="B26" s="45">
        <f>B13+B23</f>
        <v>162879876</v>
      </c>
      <c r="C26" s="45">
        <f>C13+C23</f>
        <v>144579882</v>
      </c>
    </row>
    <row r="27" spans="1:3" s="48" customFormat="1" ht="6.75" thickBot="1">
      <c r="A27" s="52"/>
      <c r="B27" s="52"/>
      <c r="C27" s="52"/>
    </row>
    <row r="28" spans="1:3" ht="13.5" thickTop="1">
      <c r="A28" s="53"/>
      <c r="B28" s="46"/>
      <c r="C28" s="46"/>
    </row>
    <row r="29" ht="12.75">
      <c r="A29" s="45" t="s">
        <v>68</v>
      </c>
    </row>
    <row r="30" ht="12.75">
      <c r="A30" s="45"/>
    </row>
    <row r="31" ht="12.75">
      <c r="A31" s="45" t="s">
        <v>67</v>
      </c>
    </row>
    <row r="32" spans="1:3" ht="12.75">
      <c r="A32" s="46" t="s">
        <v>11</v>
      </c>
      <c r="B32" s="46">
        <f>-'[3]FS'!$N$33</f>
        <v>159987.66619000002</v>
      </c>
      <c r="C32" s="46">
        <v>159988</v>
      </c>
    </row>
    <row r="33" spans="1:3" ht="12.75">
      <c r="A33" s="46" t="s">
        <v>12</v>
      </c>
      <c r="B33" s="46">
        <f>-'[3]FS'!$N$34</f>
        <v>1282400.8450000002</v>
      </c>
      <c r="C33" s="46">
        <v>1282401</v>
      </c>
    </row>
    <row r="34" spans="1:3" ht="12.75">
      <c r="A34" s="46" t="s">
        <v>50</v>
      </c>
      <c r="B34" s="46">
        <f>-42631</f>
        <v>-42631</v>
      </c>
      <c r="C34" s="46">
        <f>-42631</f>
        <v>-42631</v>
      </c>
    </row>
    <row r="35" spans="1:3" ht="12.75">
      <c r="A35" s="46" t="s">
        <v>59</v>
      </c>
      <c r="B35" s="46">
        <v>10493455</v>
      </c>
      <c r="C35" s="46">
        <v>9657467</v>
      </c>
    </row>
    <row r="36" spans="1:3" ht="12.75">
      <c r="A36" s="46" t="s">
        <v>14</v>
      </c>
      <c r="B36" s="46">
        <v>28268655</v>
      </c>
      <c r="C36" s="46">
        <v>27257212</v>
      </c>
    </row>
    <row r="37" spans="1:3" s="48" customFormat="1" ht="6.75" thickBot="1">
      <c r="A37" s="47"/>
      <c r="B37" s="54"/>
      <c r="C37" s="54"/>
    </row>
    <row r="38" spans="1:3" ht="12.75">
      <c r="A38" s="46"/>
      <c r="B38" s="55"/>
      <c r="C38" s="55"/>
    </row>
    <row r="39" spans="1:3" ht="12.75">
      <c r="A39" s="45" t="s">
        <v>15</v>
      </c>
      <c r="B39" s="43">
        <f>SUM(B32:B38)</f>
        <v>40161867.51119</v>
      </c>
      <c r="C39" s="43">
        <f>SUM(C32:C38)</f>
        <v>38314437</v>
      </c>
    </row>
    <row r="40" spans="1:3" s="48" customFormat="1" ht="6.75" thickBot="1">
      <c r="A40" s="47"/>
      <c r="B40" s="56"/>
      <c r="C40" s="56"/>
    </row>
    <row r="41" spans="1:3" ht="12.75">
      <c r="A41" s="46"/>
      <c r="B41" s="57"/>
      <c r="C41" s="57"/>
    </row>
    <row r="42" spans="1:3" ht="12.75">
      <c r="A42" s="45" t="s">
        <v>73</v>
      </c>
      <c r="B42" s="55"/>
      <c r="C42" s="55"/>
    </row>
    <row r="43" spans="1:3" ht="12.75">
      <c r="A43" s="46" t="s">
        <v>44</v>
      </c>
      <c r="B43" s="46">
        <v>11946166</v>
      </c>
      <c r="C43" s="46">
        <v>11748455</v>
      </c>
    </row>
    <row r="44" spans="1:3" ht="12.75">
      <c r="A44" s="46" t="s">
        <v>45</v>
      </c>
      <c r="B44" s="46">
        <v>825871</v>
      </c>
      <c r="C44" s="46">
        <v>817574</v>
      </c>
    </row>
    <row r="45" spans="1:3" ht="12.75">
      <c r="A45" s="46" t="s">
        <v>69</v>
      </c>
      <c r="B45" s="46">
        <v>136792</v>
      </c>
      <c r="C45" s="46">
        <v>142215</v>
      </c>
    </row>
    <row r="46" spans="1:3" ht="12.75">
      <c r="A46" s="46" t="s">
        <v>70</v>
      </c>
      <c r="B46" s="46">
        <v>90659</v>
      </c>
      <c r="C46" s="46">
        <v>90659</v>
      </c>
    </row>
    <row r="47" spans="1:3" ht="12.75">
      <c r="A47" s="46" t="s">
        <v>71</v>
      </c>
      <c r="B47" s="46">
        <v>5134171</v>
      </c>
      <c r="C47" s="46">
        <v>5073680</v>
      </c>
    </row>
    <row r="48" spans="1:3" ht="12.75">
      <c r="A48" s="46" t="s">
        <v>16</v>
      </c>
      <c r="B48" s="46">
        <v>57584</v>
      </c>
      <c r="C48" s="46">
        <v>76908</v>
      </c>
    </row>
    <row r="49" spans="1:3" s="48" customFormat="1" ht="6.75" thickBot="1">
      <c r="A49" s="47"/>
      <c r="B49" s="54" t="s">
        <v>56</v>
      </c>
      <c r="C49" s="54"/>
    </row>
    <row r="50" spans="1:3" ht="12.75">
      <c r="A50" s="46"/>
      <c r="B50" s="55"/>
      <c r="C50" s="55"/>
    </row>
    <row r="51" spans="1:3" ht="12.75">
      <c r="A51" s="45" t="s">
        <v>17</v>
      </c>
      <c r="B51" s="43">
        <f>SUM(B43:B50)</f>
        <v>18191243</v>
      </c>
      <c r="C51" s="43">
        <f>SUM(C43:C50)</f>
        <v>17949491</v>
      </c>
    </row>
    <row r="52" spans="1:3" s="48" customFormat="1" ht="6.75" thickBot="1">
      <c r="A52" s="47"/>
      <c r="B52" s="54"/>
      <c r="C52" s="54"/>
    </row>
    <row r="53" spans="1:3" ht="12.75">
      <c r="A53" s="46"/>
      <c r="B53" s="55"/>
      <c r="C53" s="55"/>
    </row>
    <row r="54" spans="1:3" ht="12.75">
      <c r="A54" s="45" t="s">
        <v>72</v>
      </c>
      <c r="B54" s="55"/>
      <c r="C54" s="55"/>
    </row>
    <row r="55" spans="1:3" ht="12.75">
      <c r="A55" s="46" t="s">
        <v>44</v>
      </c>
      <c r="B55" s="46">
        <v>29112414</v>
      </c>
      <c r="C55" s="46">
        <v>26708884</v>
      </c>
    </row>
    <row r="56" spans="1:3" ht="12.75">
      <c r="A56" s="46" t="s">
        <v>69</v>
      </c>
      <c r="B56" s="46">
        <v>112746</v>
      </c>
      <c r="C56" s="46">
        <v>119502</v>
      </c>
    </row>
    <row r="57" spans="1:3" ht="12.75">
      <c r="A57" s="46" t="s">
        <v>70</v>
      </c>
      <c r="B57" s="46">
        <v>23137</v>
      </c>
      <c r="C57" s="46">
        <v>20241</v>
      </c>
    </row>
    <row r="58" spans="1:3" ht="12.75">
      <c r="A58" s="46" t="s">
        <v>74</v>
      </c>
      <c r="B58" s="46">
        <v>75191686</v>
      </c>
      <c r="C58" s="46">
        <v>61204020</v>
      </c>
    </row>
    <row r="59" spans="1:3" ht="12.75">
      <c r="A59" s="46" t="s">
        <v>75</v>
      </c>
      <c r="B59" s="46">
        <v>86782</v>
      </c>
      <c r="C59" s="46">
        <v>263307</v>
      </c>
    </row>
    <row r="60" spans="1:3" s="48" customFormat="1" ht="6.75" thickBot="1">
      <c r="A60" s="47"/>
      <c r="B60" s="54"/>
      <c r="C60" s="54"/>
    </row>
    <row r="61" spans="1:3" ht="12.75">
      <c r="A61" s="46"/>
      <c r="B61" s="55"/>
      <c r="C61" s="55"/>
    </row>
    <row r="62" spans="1:3" ht="12.75">
      <c r="A62" s="45" t="s">
        <v>76</v>
      </c>
      <c r="B62" s="43">
        <f>SUM(B55:B61)</f>
        <v>104526765</v>
      </c>
      <c r="C62" s="43">
        <f>SUM(C55:C61)</f>
        <v>88315954</v>
      </c>
    </row>
    <row r="63" spans="1:3" s="48" customFormat="1" ht="6.75" thickBot="1">
      <c r="A63" s="47"/>
      <c r="B63" s="54"/>
      <c r="C63" s="54"/>
    </row>
    <row r="64" spans="1:3" ht="12.75">
      <c r="A64" s="46"/>
      <c r="B64" s="55"/>
      <c r="C64" s="55"/>
    </row>
    <row r="65" spans="1:3" ht="12.75">
      <c r="A65" s="45" t="s">
        <v>18</v>
      </c>
      <c r="B65" s="43">
        <f>B51+B62</f>
        <v>122718008</v>
      </c>
      <c r="C65" s="43">
        <f>C51+C62</f>
        <v>106265445</v>
      </c>
    </row>
    <row r="66" spans="1:3" s="48" customFormat="1" ht="6.75" thickBot="1">
      <c r="A66" s="50"/>
      <c r="B66" s="54"/>
      <c r="C66" s="54"/>
    </row>
    <row r="67" spans="1:3" ht="12.75">
      <c r="A67" s="45"/>
      <c r="B67" s="55"/>
      <c r="C67" s="55"/>
    </row>
    <row r="68" spans="1:3" ht="12.75">
      <c r="A68" s="45" t="s">
        <v>77</v>
      </c>
      <c r="B68" s="43">
        <f>B39+B65</f>
        <v>162879875.51119</v>
      </c>
      <c r="C68" s="43">
        <f>C39+C65</f>
        <v>144579882</v>
      </c>
    </row>
    <row r="69" spans="1:3" s="48" customFormat="1" ht="6.75" thickBot="1">
      <c r="A69" s="58"/>
      <c r="B69" s="59"/>
      <c r="C69" s="59"/>
    </row>
    <row r="70" s="41" customFormat="1" ht="12.75" thickTop="1"/>
    <row r="71" spans="1:3" s="41" customFormat="1" ht="24" customHeight="1">
      <c r="A71" s="63" t="s">
        <v>48</v>
      </c>
      <c r="B71" s="41">
        <v>20022</v>
      </c>
      <c r="C71" s="41">
        <v>16354</v>
      </c>
    </row>
    <row r="72" spans="1:3" s="41" customFormat="1" ht="12">
      <c r="A72" s="41" t="s">
        <v>49</v>
      </c>
      <c r="B72" s="64">
        <v>20</v>
      </c>
      <c r="C72" s="64">
        <v>20</v>
      </c>
    </row>
    <row r="73" ht="12.75">
      <c r="A73" s="46"/>
    </row>
    <row r="74" ht="12.75">
      <c r="A74" s="46"/>
    </row>
    <row r="75" s="61" customFormat="1" ht="12">
      <c r="A75" s="60"/>
    </row>
    <row r="76" s="61" customFormat="1" ht="12"/>
    <row r="77" s="61" customFormat="1" ht="12"/>
    <row r="78" s="61" customFormat="1" ht="12"/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4">
      <selection activeCell="D44" sqref="D44"/>
    </sheetView>
  </sheetViews>
  <sheetFormatPr defaultColWidth="9.140625" defaultRowHeight="12.75"/>
  <cols>
    <col min="1" max="1" width="55.28125" style="0" customWidth="1"/>
    <col min="2" max="2" width="6.8515625" style="0" customWidth="1"/>
    <col min="3" max="3" width="12.28125" style="0" customWidth="1"/>
    <col min="4" max="4" width="11.57421875" style="0" bestFit="1" customWidth="1"/>
    <col min="6" max="6" width="14.140625" style="0" customWidth="1"/>
  </cols>
  <sheetData>
    <row r="1" spans="1:4" ht="33" customHeight="1">
      <c r="A1" s="75" t="s">
        <v>79</v>
      </c>
      <c r="B1" s="74"/>
      <c r="C1" s="74"/>
      <c r="D1" s="74"/>
    </row>
    <row r="3" spans="1:4" s="2" customFormat="1" ht="24.75" thickBot="1">
      <c r="A3" s="1"/>
      <c r="C3" s="10" t="s">
        <v>81</v>
      </c>
      <c r="D3" s="10" t="s">
        <v>80</v>
      </c>
    </row>
    <row r="4" spans="1:4" s="2" customFormat="1" ht="12.75">
      <c r="A4" s="4"/>
      <c r="C4" s="4"/>
      <c r="D4" s="4"/>
    </row>
    <row r="5" spans="1:4" s="2" customFormat="1" ht="12.75">
      <c r="A5" s="4" t="s">
        <v>19</v>
      </c>
      <c r="C5" s="4">
        <v>26830091</v>
      </c>
      <c r="D5" s="4">
        <v>35817497</v>
      </c>
    </row>
    <row r="6" spans="1:4" s="2" customFormat="1" ht="12.75">
      <c r="A6" s="4" t="s">
        <v>20</v>
      </c>
      <c r="C6" s="4">
        <v>-22102684</v>
      </c>
      <c r="D6" s="4">
        <f>-25553847</f>
        <v>-25553847</v>
      </c>
    </row>
    <row r="7" spans="1:4" s="6" customFormat="1" ht="6.75" thickBot="1">
      <c r="A7" s="5"/>
      <c r="C7" s="5"/>
      <c r="D7" s="5"/>
    </row>
    <row r="8" spans="1:4" s="2" customFormat="1" ht="12.75">
      <c r="A8" s="11"/>
      <c r="C8" s="12"/>
      <c r="D8" s="12"/>
    </row>
    <row r="9" spans="1:4" s="2" customFormat="1" ht="12.75">
      <c r="A9" s="3" t="s">
        <v>21</v>
      </c>
      <c r="C9" s="3">
        <f>SUM(C5:C8)</f>
        <v>4727407</v>
      </c>
      <c r="D9" s="3">
        <f>SUM(D5:D8)</f>
        <v>10263650</v>
      </c>
    </row>
    <row r="10" spans="1:4" s="2" customFormat="1" ht="12.75">
      <c r="A10" s="4"/>
      <c r="C10" s="4"/>
      <c r="D10" s="4"/>
    </row>
    <row r="11" spans="1:4" s="2" customFormat="1" ht="12.75">
      <c r="A11" s="4" t="s">
        <v>51</v>
      </c>
      <c r="C11" s="4">
        <v>1987622</v>
      </c>
      <c r="D11" s="4">
        <v>582788</v>
      </c>
    </row>
    <row r="12" spans="1:4" s="2" customFormat="1" ht="12.75">
      <c r="A12" s="4" t="s">
        <v>22</v>
      </c>
      <c r="C12" s="4">
        <f>-2546484</f>
        <v>-2546484</v>
      </c>
      <c r="D12" s="4">
        <f>-2787117</f>
        <v>-2787117</v>
      </c>
    </row>
    <row r="13" spans="1:4" s="2" customFormat="1" ht="12.75">
      <c r="A13" s="4" t="s">
        <v>23</v>
      </c>
      <c r="C13" s="4">
        <f>-629390</f>
        <v>-629390</v>
      </c>
      <c r="D13" s="4">
        <f>-1297703</f>
        <v>-1297703</v>
      </c>
    </row>
    <row r="14" spans="1:4" s="14" customFormat="1" ht="12.75">
      <c r="A14" s="13" t="s">
        <v>53</v>
      </c>
      <c r="C14" s="4">
        <f>-1760087</f>
        <v>-1760087</v>
      </c>
      <c r="D14" s="4">
        <f>-3225550</f>
        <v>-3225550</v>
      </c>
    </row>
    <row r="15" spans="1:4" s="6" customFormat="1" ht="6.75" thickBot="1">
      <c r="A15" s="5"/>
      <c r="C15" s="5"/>
      <c r="D15" s="5"/>
    </row>
    <row r="16" spans="1:4" s="2" customFormat="1" ht="12.75">
      <c r="A16" s="11"/>
      <c r="C16" s="12"/>
      <c r="D16" s="12"/>
    </row>
    <row r="17" spans="1:4" s="2" customFormat="1" ht="12.75">
      <c r="A17" s="3" t="s">
        <v>24</v>
      </c>
      <c r="C17" s="3">
        <f>SUM(C9:C16)</f>
        <v>1779068</v>
      </c>
      <c r="D17" s="3">
        <f>SUM(D9:D16)</f>
        <v>3536068</v>
      </c>
    </row>
    <row r="18" spans="1:4" s="2" customFormat="1" ht="12.75">
      <c r="A18" s="3"/>
      <c r="C18" s="3"/>
      <c r="D18" s="3"/>
    </row>
    <row r="19" spans="1:4" s="2" customFormat="1" ht="12.75">
      <c r="A19" s="4" t="s">
        <v>25</v>
      </c>
      <c r="C19" s="4">
        <v>723</v>
      </c>
      <c r="D19" s="4">
        <v>9772</v>
      </c>
    </row>
    <row r="20" spans="1:4" s="2" customFormat="1" ht="12.75">
      <c r="A20" s="4" t="s">
        <v>26</v>
      </c>
      <c r="C20" s="4">
        <f>-944809</f>
        <v>-944809</v>
      </c>
      <c r="D20" s="4">
        <f>-1154438</f>
        <v>-1154438</v>
      </c>
    </row>
    <row r="21" spans="1:4" s="2" customFormat="1" ht="12.75">
      <c r="A21" s="4" t="s">
        <v>82</v>
      </c>
      <c r="C21" s="4">
        <v>242142</v>
      </c>
      <c r="D21" s="4">
        <v>345294</v>
      </c>
    </row>
    <row r="22" spans="1:4" s="2" customFormat="1" ht="12.75">
      <c r="A22" s="4"/>
      <c r="C22" s="4"/>
      <c r="D22" s="4"/>
    </row>
    <row r="23" spans="1:4" s="2" customFormat="1" ht="12.75">
      <c r="A23" s="3" t="s">
        <v>27</v>
      </c>
      <c r="C23" s="3">
        <f>SUM(C17:C22)</f>
        <v>1077124</v>
      </c>
      <c r="D23" s="3">
        <f>SUM(D17:D22)</f>
        <v>2736696</v>
      </c>
    </row>
    <row r="24" spans="1:4" s="2" customFormat="1" ht="12.75">
      <c r="A24" s="3"/>
      <c r="C24" s="3"/>
      <c r="D24" s="3"/>
    </row>
    <row r="25" spans="1:4" s="2" customFormat="1" ht="12.75">
      <c r="A25" s="4" t="s">
        <v>83</v>
      </c>
      <c r="C25" s="68">
        <f>-65681</f>
        <v>-65681</v>
      </c>
      <c r="D25" s="4">
        <f>-1473547</f>
        <v>-1473547</v>
      </c>
    </row>
    <row r="26" spans="1:4" s="6" customFormat="1" ht="6.75" thickBot="1">
      <c r="A26" s="5"/>
      <c r="C26" s="5"/>
      <c r="D26" s="5"/>
    </row>
    <row r="27" spans="1:4" s="2" customFormat="1" ht="12.75">
      <c r="A27" s="4"/>
      <c r="C27" s="4"/>
      <c r="D27" s="4"/>
    </row>
    <row r="28" spans="1:4" s="2" customFormat="1" ht="12.75">
      <c r="A28" s="3" t="s">
        <v>84</v>
      </c>
      <c r="C28" s="3">
        <f>SUM(C23:C27)</f>
        <v>1011443</v>
      </c>
      <c r="D28" s="3">
        <f>SUM(D23:D27)</f>
        <v>1263149</v>
      </c>
    </row>
    <row r="29" spans="1:4" s="6" customFormat="1" ht="6.75" thickBot="1">
      <c r="A29" s="7"/>
      <c r="C29" s="7"/>
      <c r="D29" s="7"/>
    </row>
    <row r="30" spans="1:4" s="2" customFormat="1" ht="12.75">
      <c r="A30" s="4"/>
      <c r="C30" s="4"/>
      <c r="D30" s="4"/>
    </row>
    <row r="31" spans="1:4" s="2" customFormat="1" ht="12.75">
      <c r="A31" s="3" t="s">
        <v>28</v>
      </c>
      <c r="C31" s="4"/>
      <c r="D31" s="4"/>
    </row>
    <row r="32" spans="1:4" s="2" customFormat="1" ht="12.75">
      <c r="A32" s="9" t="s">
        <v>29</v>
      </c>
      <c r="C32" s="4"/>
      <c r="D32" s="4"/>
    </row>
    <row r="33" spans="1:4" s="2" customFormat="1" ht="12.75">
      <c r="A33" s="4"/>
      <c r="C33" s="4"/>
      <c r="D33" s="4"/>
    </row>
    <row r="34" spans="1:4" s="2" customFormat="1" ht="16.5" customHeight="1">
      <c r="A34" s="4" t="s">
        <v>28</v>
      </c>
      <c r="C34" s="4">
        <v>835988</v>
      </c>
      <c r="D34" s="4">
        <v>2906224</v>
      </c>
    </row>
    <row r="35" spans="1:4" s="2" customFormat="1" ht="12.75">
      <c r="A35" s="4"/>
      <c r="C35" s="4"/>
      <c r="D35" s="4"/>
    </row>
    <row r="36" spans="1:4" s="2" customFormat="1" ht="12.75">
      <c r="A36" s="3" t="s">
        <v>54</v>
      </c>
      <c r="C36" s="3">
        <f>SUM(C33:C35)</f>
        <v>835988</v>
      </c>
      <c r="D36" s="3">
        <f>SUM(D33:D35)</f>
        <v>2906224</v>
      </c>
    </row>
    <row r="37" spans="1:4" s="6" customFormat="1" ht="6.75" thickBot="1">
      <c r="A37" s="5"/>
      <c r="C37" s="5"/>
      <c r="D37" s="5"/>
    </row>
    <row r="38" spans="1:4" s="2" customFormat="1" ht="12.75">
      <c r="A38" s="4"/>
      <c r="C38" s="4"/>
      <c r="D38" s="4"/>
    </row>
    <row r="39" spans="1:4" s="2" customFormat="1" ht="12.75">
      <c r="A39" s="3" t="s">
        <v>85</v>
      </c>
      <c r="C39" s="3">
        <f>C28+C36</f>
        <v>1847431</v>
      </c>
      <c r="D39" s="3">
        <f>D28+D36</f>
        <v>4169373</v>
      </c>
    </row>
    <row r="40" spans="1:4" s="6" customFormat="1" ht="6.75" thickBot="1">
      <c r="A40" s="8"/>
      <c r="C40" s="8"/>
      <c r="D40" s="8"/>
    </row>
    <row r="41" ht="13.5" thickTop="1"/>
    <row r="42" ht="12.75">
      <c r="A42" s="69" t="s">
        <v>55</v>
      </c>
    </row>
    <row r="43" spans="1:4" ht="12.75">
      <c r="A43" t="s">
        <v>30</v>
      </c>
      <c r="C43" s="3">
        <v>493</v>
      </c>
      <c r="D43" s="3">
        <v>616</v>
      </c>
    </row>
    <row r="44" spans="3:4" ht="12.75">
      <c r="C44" s="65"/>
      <c r="D44" s="65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zoomScale="90" zoomScaleNormal="90" zoomScalePageLayoutView="0" workbookViewId="0" topLeftCell="A1">
      <selection activeCell="A25" sqref="A25"/>
    </sheetView>
  </sheetViews>
  <sheetFormatPr defaultColWidth="9.140625" defaultRowHeight="12.75"/>
  <cols>
    <col min="1" max="1" width="44.28125" style="15" bestFit="1" customWidth="1"/>
    <col min="2" max="2" width="16.7109375" style="15" bestFit="1" customWidth="1"/>
    <col min="3" max="4" width="13.7109375" style="15" customWidth="1"/>
    <col min="5" max="5" width="16.28125" style="15" bestFit="1" customWidth="1"/>
    <col min="6" max="6" width="13.140625" style="15" customWidth="1"/>
    <col min="7" max="7" width="11.00390625" style="15" bestFit="1" customWidth="1"/>
    <col min="8" max="16384" width="9.140625" style="15" customWidth="1"/>
  </cols>
  <sheetData>
    <row r="1" spans="1:7" ht="15" customHeight="1">
      <c r="A1" s="75" t="s">
        <v>86</v>
      </c>
      <c r="B1" s="74"/>
      <c r="C1" s="74"/>
      <c r="D1" s="74"/>
      <c r="E1" s="74"/>
      <c r="F1" s="74"/>
      <c r="G1" s="74"/>
    </row>
    <row r="2" ht="15" customHeight="1"/>
    <row r="4" spans="1:7" ht="48.75" thickBot="1">
      <c r="A4" s="16" t="s">
        <v>31</v>
      </c>
      <c r="B4" s="17" t="s">
        <v>32</v>
      </c>
      <c r="C4" s="18" t="s">
        <v>33</v>
      </c>
      <c r="D4" s="18" t="s">
        <v>59</v>
      </c>
      <c r="E4" s="18" t="s">
        <v>13</v>
      </c>
      <c r="F4" s="18" t="s">
        <v>34</v>
      </c>
      <c r="G4" s="17" t="s">
        <v>35</v>
      </c>
    </row>
    <row r="5" spans="1:7" s="23" customFormat="1" ht="6">
      <c r="A5" s="21"/>
      <c r="B5" s="22"/>
      <c r="C5" s="22"/>
      <c r="D5" s="22"/>
      <c r="E5" s="22"/>
      <c r="F5" s="22"/>
      <c r="G5" s="22"/>
    </row>
    <row r="6" spans="1:7" s="24" customFormat="1" ht="12">
      <c r="A6" s="19" t="s">
        <v>87</v>
      </c>
      <c r="B6" s="19">
        <v>159988</v>
      </c>
      <c r="C6" s="19">
        <v>1282401</v>
      </c>
      <c r="D6" s="19">
        <v>5904636</v>
      </c>
      <c r="E6" s="19">
        <f>-47552</f>
        <v>-47552</v>
      </c>
      <c r="F6" s="19">
        <v>25247986</v>
      </c>
      <c r="G6" s="19">
        <f>SUM(B6:F6)</f>
        <v>32547459</v>
      </c>
    </row>
    <row r="7" spans="1:7" s="23" customFormat="1" ht="6.75" thickBot="1">
      <c r="A7" s="25"/>
      <c r="B7" s="25"/>
      <c r="C7" s="25"/>
      <c r="D7" s="25"/>
      <c r="E7" s="25"/>
      <c r="F7" s="25"/>
      <c r="G7" s="25"/>
    </row>
    <row r="8" spans="1:7" s="23" customFormat="1" ht="6.75" hidden="1" thickBot="1">
      <c r="A8" s="25"/>
      <c r="B8" s="25"/>
      <c r="C8" s="25"/>
      <c r="D8" s="25"/>
      <c r="E8" s="25"/>
      <c r="F8" s="25"/>
      <c r="G8" s="25"/>
    </row>
    <row r="9" spans="1:7" ht="12">
      <c r="A9" s="20"/>
      <c r="B9" s="20"/>
      <c r="C9" s="20"/>
      <c r="D9" s="20"/>
      <c r="E9" s="20"/>
      <c r="F9" s="20"/>
      <c r="G9" s="20"/>
    </row>
    <row r="10" spans="1:7" ht="12">
      <c r="A10" s="20" t="s">
        <v>47</v>
      </c>
      <c r="B10" s="20">
        <f>SUM(B8:B9)</f>
        <v>0</v>
      </c>
      <c r="C10" s="20">
        <f>SUM(C8:C9)</f>
        <v>0</v>
      </c>
      <c r="D10" s="20">
        <v>0</v>
      </c>
      <c r="E10" s="20">
        <f>SUM(E8:E9)</f>
        <v>0</v>
      </c>
      <c r="F10" s="20">
        <v>2041599</v>
      </c>
      <c r="G10" s="20">
        <f>SUM(F10)</f>
        <v>2041599</v>
      </c>
    </row>
    <row r="11" spans="1:7" ht="12">
      <c r="A11" s="72" t="s">
        <v>46</v>
      </c>
      <c r="B11" s="72">
        <v>0</v>
      </c>
      <c r="C11" s="72">
        <v>0</v>
      </c>
      <c r="D11" s="72">
        <v>3752831</v>
      </c>
      <c r="E11" s="72">
        <v>4921</v>
      </c>
      <c r="F11" s="72"/>
      <c r="G11" s="72">
        <f>SUM(B11:F11)</f>
        <v>3757752</v>
      </c>
    </row>
    <row r="12" spans="1:7" s="23" customFormat="1" ht="6">
      <c r="A12" s="21"/>
      <c r="B12" s="22"/>
      <c r="C12" s="22"/>
      <c r="D12" s="22"/>
      <c r="E12" s="22"/>
      <c r="F12" s="22"/>
      <c r="G12" s="22"/>
    </row>
    <row r="13" spans="1:7" ht="12">
      <c r="A13" s="20" t="s">
        <v>36</v>
      </c>
      <c r="B13" s="20">
        <v>0</v>
      </c>
      <c r="C13" s="20">
        <v>0</v>
      </c>
      <c r="D13" s="20"/>
      <c r="E13" s="20">
        <v>0</v>
      </c>
      <c r="F13" s="20">
        <f>-32373</f>
        <v>-32373</v>
      </c>
      <c r="G13" s="20">
        <f>SUM(B13:F13)</f>
        <v>-32373</v>
      </c>
    </row>
    <row r="14" spans="1:7" s="23" customFormat="1" ht="6.75" thickBot="1">
      <c r="A14" s="25"/>
      <c r="B14" s="25"/>
      <c r="C14" s="25"/>
      <c r="D14" s="25"/>
      <c r="E14" s="25"/>
      <c r="F14" s="25"/>
      <c r="G14" s="25"/>
    </row>
    <row r="15" spans="1:7" ht="12">
      <c r="A15" s="20"/>
      <c r="B15" s="20"/>
      <c r="C15" s="20"/>
      <c r="D15" s="20"/>
      <c r="E15" s="20"/>
      <c r="F15" s="20"/>
      <c r="G15" s="20"/>
    </row>
    <row r="16" spans="1:7" ht="12">
      <c r="A16" s="19" t="s">
        <v>88</v>
      </c>
      <c r="B16" s="19">
        <f aca="true" t="shared" si="0" ref="B16:G16">B6+B10+B11+B13</f>
        <v>159988</v>
      </c>
      <c r="C16" s="19">
        <f t="shared" si="0"/>
        <v>1282401</v>
      </c>
      <c r="D16" s="19">
        <f t="shared" si="0"/>
        <v>9657467</v>
      </c>
      <c r="E16" s="19">
        <f t="shared" si="0"/>
        <v>-42631</v>
      </c>
      <c r="F16" s="19">
        <f t="shared" si="0"/>
        <v>27257212</v>
      </c>
      <c r="G16" s="19">
        <f t="shared" si="0"/>
        <v>38314437</v>
      </c>
    </row>
    <row r="17" spans="1:7" s="23" customFormat="1" ht="6.75" thickBot="1">
      <c r="A17" s="25"/>
      <c r="B17" s="25"/>
      <c r="C17" s="25"/>
      <c r="D17" s="25"/>
      <c r="E17" s="25"/>
      <c r="F17" s="25"/>
      <c r="G17" s="25"/>
    </row>
    <row r="18" spans="1:7" s="23" customFormat="1" ht="12" customHeight="1">
      <c r="A18" s="70"/>
      <c r="B18" s="70"/>
      <c r="C18" s="70"/>
      <c r="D18" s="70"/>
      <c r="E18" s="70"/>
      <c r="F18" s="70"/>
      <c r="G18" s="70"/>
    </row>
    <row r="19" spans="1:7" ht="14.25" customHeight="1">
      <c r="A19" s="20" t="s">
        <v>89</v>
      </c>
      <c r="B19" s="20">
        <v>0</v>
      </c>
      <c r="C19" s="20">
        <v>0</v>
      </c>
      <c r="D19" s="20"/>
      <c r="E19" s="20">
        <v>0</v>
      </c>
      <c r="F19" s="26">
        <f>фхд!C28</f>
        <v>1011443</v>
      </c>
      <c r="G19" s="20">
        <f>SUM(B19:F19)</f>
        <v>1011443</v>
      </c>
    </row>
    <row r="20" spans="1:7" ht="21" customHeight="1">
      <c r="A20" s="72" t="s">
        <v>57</v>
      </c>
      <c r="B20" s="72">
        <v>0</v>
      </c>
      <c r="C20" s="72">
        <v>0</v>
      </c>
      <c r="D20" s="72">
        <f>фхд!C36</f>
        <v>835988</v>
      </c>
      <c r="E20" s="72"/>
      <c r="F20" s="72"/>
      <c r="G20" s="72">
        <f>SUM(B20:F20)</f>
        <v>835988</v>
      </c>
    </row>
    <row r="21" spans="1:7" ht="12">
      <c r="A21" s="20" t="s">
        <v>36</v>
      </c>
      <c r="B21" s="20">
        <v>0</v>
      </c>
      <c r="C21" s="20">
        <v>0</v>
      </c>
      <c r="D21" s="20"/>
      <c r="E21" s="20">
        <v>0</v>
      </c>
      <c r="F21" s="20">
        <v>0</v>
      </c>
      <c r="G21" s="20">
        <f>SUM(B21:F21)</f>
        <v>0</v>
      </c>
    </row>
    <row r="22" spans="1:7" s="23" customFormat="1" ht="6.75" thickBot="1">
      <c r="A22" s="25"/>
      <c r="B22" s="25"/>
      <c r="C22" s="25"/>
      <c r="D22" s="25"/>
      <c r="E22" s="25"/>
      <c r="F22" s="25"/>
      <c r="G22" s="25"/>
    </row>
    <row r="23" spans="1:7" ht="12">
      <c r="A23" s="20"/>
      <c r="B23" s="20"/>
      <c r="C23" s="20"/>
      <c r="D23" s="20"/>
      <c r="E23" s="20"/>
      <c r="F23" s="20"/>
      <c r="G23" s="20"/>
    </row>
    <row r="24" spans="1:7" ht="12">
      <c r="A24" s="19" t="s">
        <v>90</v>
      </c>
      <c r="B24" s="19">
        <f>B16+B19+B20</f>
        <v>159988</v>
      </c>
      <c r="C24" s="19">
        <f>C16+C19+C20</f>
        <v>1282401</v>
      </c>
      <c r="D24" s="19">
        <f>D16+D19+D20</f>
        <v>10493455</v>
      </c>
      <c r="E24" s="19">
        <f>E16+E19+E20</f>
        <v>-42631</v>
      </c>
      <c r="F24" s="19">
        <f>F16+F19+F20+F21</f>
        <v>28268655</v>
      </c>
      <c r="G24" s="19">
        <f>G16+G19+G20+G21</f>
        <v>40161868</v>
      </c>
    </row>
    <row r="25" spans="1:7" s="23" customFormat="1" ht="6.75" thickBot="1">
      <c r="A25" s="25"/>
      <c r="B25" s="25"/>
      <c r="C25" s="25"/>
      <c r="D25" s="25"/>
      <c r="E25" s="25"/>
      <c r="F25" s="25"/>
      <c r="G25" s="25"/>
    </row>
    <row r="26" spans="1:7" ht="12">
      <c r="A26" s="20"/>
      <c r="B26" s="20"/>
      <c r="C26" s="20"/>
      <c r="D26" s="20"/>
      <c r="E26" s="20"/>
      <c r="F26" s="20"/>
      <c r="G26" s="20"/>
    </row>
    <row r="27" spans="6:7" ht="12">
      <c r="F27" s="67">
        <f>F24-Баланс!B36</f>
        <v>0</v>
      </c>
      <c r="G27" s="67">
        <f>G24-Баланс!B39</f>
        <v>0.4888100028038025</v>
      </c>
    </row>
    <row r="28" ht="12">
      <c r="F28" s="27"/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showGridLines="0" zoomScale="90" zoomScaleNormal="90" zoomScalePageLayoutView="0" workbookViewId="0" topLeftCell="A10">
      <selection activeCell="B51" sqref="B51"/>
    </sheetView>
  </sheetViews>
  <sheetFormatPr defaultColWidth="9.140625" defaultRowHeight="12.75"/>
  <cols>
    <col min="1" max="1" width="57.8515625" style="28" customWidth="1"/>
    <col min="2" max="2" width="18.00390625" style="28" customWidth="1"/>
    <col min="3" max="3" width="19.57421875" style="28" customWidth="1"/>
    <col min="4" max="16384" width="9.140625" style="28" customWidth="1"/>
  </cols>
  <sheetData>
    <row r="1" spans="1:3" ht="29.25" customHeight="1">
      <c r="A1" s="75" t="s">
        <v>91</v>
      </c>
      <c r="B1" s="74"/>
      <c r="C1" s="74"/>
    </row>
    <row r="3" spans="1:3" s="31" customFormat="1" ht="12.75" thickBot="1">
      <c r="A3" s="29" t="s">
        <v>37</v>
      </c>
      <c r="B3" s="30" t="s">
        <v>81</v>
      </c>
      <c r="C3" s="30" t="s">
        <v>80</v>
      </c>
    </row>
    <row r="4" spans="1:3" s="34" customFormat="1" ht="12">
      <c r="A4" s="32"/>
      <c r="B4" s="33"/>
      <c r="C4" s="33"/>
    </row>
    <row r="5" spans="1:3" s="34" customFormat="1" ht="12">
      <c r="A5" s="35" t="s">
        <v>93</v>
      </c>
      <c r="B5" s="36"/>
      <c r="C5" s="36"/>
    </row>
    <row r="6" spans="1:3" ht="12">
      <c r="A6" s="36"/>
      <c r="B6" s="36"/>
      <c r="C6" s="36"/>
    </row>
    <row r="7" spans="1:3" ht="12">
      <c r="A7" s="36" t="s">
        <v>38</v>
      </c>
      <c r="B7" s="37">
        <v>26489774</v>
      </c>
      <c r="C7" s="37">
        <v>30371808</v>
      </c>
    </row>
    <row r="8" spans="1:3" ht="12">
      <c r="A8" s="36" t="s">
        <v>92</v>
      </c>
      <c r="B8" s="37">
        <v>129060</v>
      </c>
      <c r="C8" s="37">
        <v>216142</v>
      </c>
    </row>
    <row r="9" spans="1:3" ht="12">
      <c r="A9" s="36" t="s">
        <v>52</v>
      </c>
      <c r="B9" s="37">
        <v>2961647</v>
      </c>
      <c r="C9" s="66">
        <v>2749534</v>
      </c>
    </row>
    <row r="10" spans="1:3" ht="12">
      <c r="A10" s="36" t="s">
        <v>39</v>
      </c>
      <c r="B10" s="28">
        <f>-19864698</f>
        <v>-19864698</v>
      </c>
      <c r="C10" s="28">
        <f>-11088580</f>
        <v>-11088580</v>
      </c>
    </row>
    <row r="11" spans="1:3" ht="12">
      <c r="A11" s="36" t="s">
        <v>40</v>
      </c>
      <c r="B11" s="28">
        <f>-2603724</f>
        <v>-2603724</v>
      </c>
      <c r="C11" s="28">
        <f>-3131676</f>
        <v>-3131676</v>
      </c>
    </row>
    <row r="12" spans="1:3" ht="12">
      <c r="A12" s="36" t="s">
        <v>41</v>
      </c>
      <c r="B12" s="28">
        <f>-1723308</f>
        <v>-1723308</v>
      </c>
      <c r="C12" s="28">
        <f>-3898602</f>
        <v>-3898602</v>
      </c>
    </row>
    <row r="13" spans="1:3" ht="12">
      <c r="A13" s="36" t="s">
        <v>94</v>
      </c>
      <c r="B13" s="28">
        <f>-694326</f>
        <v>-694326</v>
      </c>
      <c r="C13" s="28">
        <f>-1005798</f>
        <v>-1005798</v>
      </c>
    </row>
    <row r="14" spans="1:3" ht="12">
      <c r="A14" s="36" t="s">
        <v>95</v>
      </c>
      <c r="B14" s="28">
        <f>-794334</f>
        <v>-794334</v>
      </c>
      <c r="C14" s="28">
        <f>-908693</f>
        <v>-908693</v>
      </c>
    </row>
    <row r="15" spans="1:3" ht="12">
      <c r="A15" s="36" t="s">
        <v>96</v>
      </c>
      <c r="B15" s="28">
        <f>-955561</f>
        <v>-955561</v>
      </c>
      <c r="C15" s="28">
        <f>-1253357</f>
        <v>-1253357</v>
      </c>
    </row>
    <row r="16" spans="1:3" ht="12.75" thickBot="1">
      <c r="A16" s="38"/>
      <c r="B16" s="38"/>
      <c r="C16" s="38"/>
    </row>
    <row r="17" spans="1:3" ht="12">
      <c r="A17" s="35"/>
      <c r="B17" s="36"/>
      <c r="C17" s="36"/>
    </row>
    <row r="18" spans="1:3" ht="24">
      <c r="A18" s="35" t="s">
        <v>97</v>
      </c>
      <c r="B18" s="71">
        <f>SUM(B7:B15)</f>
        <v>2944530</v>
      </c>
      <c r="C18" s="71">
        <f>SUM(C7:C15)</f>
        <v>12050778</v>
      </c>
    </row>
    <row r="19" spans="1:3" ht="12.75" thickBot="1">
      <c r="A19" s="39"/>
      <c r="B19" s="39"/>
      <c r="C19" s="39"/>
    </row>
    <row r="20" spans="1:3" ht="12">
      <c r="A20" s="35"/>
      <c r="B20" s="36"/>
      <c r="C20" s="36"/>
    </row>
    <row r="21" spans="1:3" ht="12">
      <c r="A21" s="36" t="s">
        <v>98</v>
      </c>
      <c r="B21" s="36">
        <v>931</v>
      </c>
      <c r="C21" s="36"/>
    </row>
    <row r="22" spans="1:3" ht="12">
      <c r="A22" s="36" t="s">
        <v>99</v>
      </c>
      <c r="B22" s="28">
        <f>-4943553</f>
        <v>-4943553</v>
      </c>
      <c r="C22" s="28">
        <f>-2721910</f>
        <v>-2721910</v>
      </c>
    </row>
    <row r="23" spans="1:3" ht="24">
      <c r="A23" s="36" t="s">
        <v>100</v>
      </c>
      <c r="B23" s="28">
        <v>0</v>
      </c>
      <c r="C23" s="28">
        <f>-168198</f>
        <v>-168198</v>
      </c>
    </row>
    <row r="24" spans="1:3" ht="24">
      <c r="A24" s="36" t="s">
        <v>101</v>
      </c>
      <c r="B24" s="28">
        <f>-157826</f>
        <v>-157826</v>
      </c>
      <c r="C24" s="28">
        <f>-2154244</f>
        <v>-2154244</v>
      </c>
    </row>
    <row r="25" spans="1:3" ht="12.75" thickBot="1">
      <c r="A25" s="38"/>
      <c r="B25" s="38"/>
      <c r="C25" s="38"/>
    </row>
    <row r="26" spans="1:3" ht="12">
      <c r="A26" s="35"/>
      <c r="B26" s="36"/>
      <c r="C26" s="36"/>
    </row>
    <row r="27" spans="1:3" ht="24">
      <c r="A27" s="35" t="s">
        <v>102</v>
      </c>
      <c r="B27" s="19">
        <f>SUM(B21:B24)</f>
        <v>-5100448</v>
      </c>
      <c r="C27" s="19">
        <f>SUM(C21:C24)</f>
        <v>-5044352</v>
      </c>
    </row>
    <row r="28" spans="1:3" ht="12.75" thickBot="1">
      <c r="A28" s="39"/>
      <c r="B28" s="39"/>
      <c r="C28" s="38"/>
    </row>
    <row r="29" spans="1:3" ht="12">
      <c r="A29" s="35"/>
      <c r="B29" s="36"/>
      <c r="C29" s="36"/>
    </row>
    <row r="30" spans="1:3" ht="12">
      <c r="A30" s="35" t="s">
        <v>103</v>
      </c>
      <c r="B30" s="36"/>
      <c r="C30" s="36"/>
    </row>
    <row r="31" spans="1:3" ht="12">
      <c r="A31" s="36"/>
      <c r="B31" s="36"/>
      <c r="C31" s="36"/>
    </row>
    <row r="32" spans="1:3" ht="12">
      <c r="A32" s="36" t="s">
        <v>42</v>
      </c>
      <c r="B32" s="62">
        <v>3566282</v>
      </c>
      <c r="C32" s="62">
        <v>308738</v>
      </c>
    </row>
    <row r="33" spans="1:3" ht="12">
      <c r="A33" s="36" t="s">
        <v>43</v>
      </c>
      <c r="B33" s="28">
        <f>-1836353</f>
        <v>-1836353</v>
      </c>
      <c r="C33" s="28">
        <f>-4235599</f>
        <v>-4235599</v>
      </c>
    </row>
    <row r="34" spans="1:3" ht="12">
      <c r="A34" s="36" t="s">
        <v>104</v>
      </c>
      <c r="B34" s="28">
        <f>-18882</f>
        <v>-18882</v>
      </c>
      <c r="C34" s="28" t="s">
        <v>105</v>
      </c>
    </row>
    <row r="35" spans="1:3" ht="12">
      <c r="A35" s="36" t="s">
        <v>58</v>
      </c>
      <c r="B35" s="28">
        <f>-674</f>
        <v>-674</v>
      </c>
      <c r="C35" s="28">
        <f>-1130</f>
        <v>-1130</v>
      </c>
    </row>
    <row r="36" spans="1:3" ht="12.75" thickBot="1">
      <c r="A36" s="39"/>
      <c r="B36" s="38"/>
      <c r="C36" s="38"/>
    </row>
    <row r="37" spans="1:3" ht="12">
      <c r="A37" s="35"/>
      <c r="B37" s="35"/>
      <c r="C37" s="35"/>
    </row>
    <row r="38" spans="1:3" ht="12">
      <c r="A38" s="35" t="s">
        <v>106</v>
      </c>
      <c r="B38" s="71"/>
      <c r="C38" s="76">
        <f>SUM(C32:C35)</f>
        <v>-3927991</v>
      </c>
    </row>
    <row r="39" spans="1:3" ht="12">
      <c r="A39" s="35" t="s">
        <v>107</v>
      </c>
      <c r="B39" s="71">
        <f>SUM(B32:B38)</f>
        <v>1710373</v>
      </c>
      <c r="C39" s="76"/>
    </row>
    <row r="40" spans="1:3" ht="12.75" thickBot="1">
      <c r="A40" s="39"/>
      <c r="B40" s="39"/>
      <c r="C40" s="39"/>
    </row>
    <row r="41" spans="1:3" ht="12">
      <c r="A41" s="36"/>
      <c r="B41" s="36"/>
      <c r="C41" s="36"/>
    </row>
    <row r="42" spans="1:3" ht="12">
      <c r="A42" s="36" t="s">
        <v>109</v>
      </c>
      <c r="B42" s="19">
        <f>B18+B27+B39</f>
        <v>-445545</v>
      </c>
      <c r="C42" s="19">
        <f>C18+C27+C38</f>
        <v>3078435</v>
      </c>
    </row>
    <row r="43" spans="1:3" ht="12">
      <c r="A43" s="35"/>
      <c r="B43" s="19"/>
      <c r="C43" s="19"/>
    </row>
    <row r="44" spans="1:3" ht="24">
      <c r="A44" s="36" t="s">
        <v>108</v>
      </c>
      <c r="B44" s="79">
        <v>28398</v>
      </c>
      <c r="C44" s="79">
        <f>-55536</f>
        <v>-55536</v>
      </c>
    </row>
    <row r="45" spans="1:3" ht="21" customHeight="1">
      <c r="A45" s="77" t="s">
        <v>110</v>
      </c>
      <c r="B45" s="78">
        <v>3323707</v>
      </c>
      <c r="C45" s="78">
        <v>3090679</v>
      </c>
    </row>
    <row r="47" spans="1:3" ht="12">
      <c r="A47" s="71" t="s">
        <v>111</v>
      </c>
      <c r="B47" s="71">
        <f>B42+B44+B45</f>
        <v>2906560</v>
      </c>
      <c r="C47" s="71">
        <f>C42+C44+C45</f>
        <v>6113578</v>
      </c>
    </row>
    <row r="68" s="40" customFormat="1" ht="12">
      <c r="A68" s="28"/>
    </row>
    <row r="69" ht="12">
      <c r="A69" s="40"/>
    </row>
  </sheetData>
  <sheetProtection/>
  <mergeCells count="2">
    <mergeCell ref="C38:C39"/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</dc:creator>
  <cp:keywords/>
  <dc:description/>
  <cp:lastModifiedBy>buh3</cp:lastModifiedBy>
  <cp:lastPrinted>2018-07-27T10:16:23Z</cp:lastPrinted>
  <dcterms:created xsi:type="dcterms:W3CDTF">2014-07-30T08:42:50Z</dcterms:created>
  <dcterms:modified xsi:type="dcterms:W3CDTF">2021-07-28T10:04:42Z</dcterms:modified>
  <cp:category/>
  <cp:version/>
  <cp:contentType/>
  <cp:contentStatus/>
</cp:coreProperties>
</file>