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s_b\Documents\Отчетность\Баланс\2024\01 плюс 3580\Гаухар Балансы 29 12 23 и 03 01 24\"/>
    </mc:Choice>
  </mc:AlternateContent>
  <bookViews>
    <workbookView xWindow="0" yWindow="0" windowWidth="28770" windowHeight="11400"/>
  </bookViews>
  <sheets>
    <sheet name="VREP_700_ND_RESPONDENTundefined" sheetId="1" r:id="rId1"/>
    <sheet name="Лист1" sheetId="2" r:id="rId2"/>
  </sheets>
  <definedNames>
    <definedName name="_xlnm._FilterDatabase" localSheetId="0" hidden="1">VREP_700_ND_RESPONDENTundefined!$A$5:$F$223</definedName>
  </definedNames>
  <calcPr calcId="162913" refMode="R1C1"/>
</workbook>
</file>

<file path=xl/calcChain.xml><?xml version="1.0" encoding="utf-8"?>
<calcChain xmlns="http://schemas.openxmlformats.org/spreadsheetml/2006/main">
  <c r="A3" i="2" l="1"/>
  <c r="A14" i="1" l="1"/>
  <c r="B14" i="1"/>
  <c r="C14" i="1"/>
  <c r="D14" i="1"/>
  <c r="E14" i="1"/>
  <c r="A15" i="1"/>
  <c r="B15" i="1"/>
  <c r="C15" i="1"/>
  <c r="D15" i="1"/>
  <c r="E15" i="1"/>
  <c r="A9" i="1"/>
  <c r="B9" i="1"/>
  <c r="C9" i="1"/>
  <c r="D9" i="1"/>
  <c r="E9" i="1"/>
  <c r="A21" i="1"/>
  <c r="B21" i="1"/>
  <c r="C21" i="1"/>
  <c r="D21" i="1"/>
  <c r="E21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19" i="1"/>
  <c r="B19" i="1"/>
  <c r="C19" i="1"/>
  <c r="D19" i="1"/>
  <c r="E19" i="1"/>
  <c r="A25" i="1"/>
  <c r="B25" i="1"/>
  <c r="C25" i="1"/>
  <c r="D25" i="1"/>
  <c r="E25" i="1"/>
  <c r="A29" i="1"/>
  <c r="B29" i="1"/>
  <c r="C29" i="1"/>
  <c r="D29" i="1"/>
  <c r="E29" i="1"/>
  <c r="A27" i="1"/>
  <c r="B27" i="1"/>
  <c r="C27" i="1"/>
  <c r="D27" i="1"/>
  <c r="E27" i="1"/>
  <c r="A28" i="1"/>
  <c r="B28" i="1"/>
  <c r="C28" i="1"/>
  <c r="D28" i="1"/>
  <c r="E28" i="1"/>
  <c r="A23" i="1"/>
  <c r="B23" i="1"/>
  <c r="C23" i="1"/>
  <c r="D23" i="1"/>
  <c r="E23" i="1"/>
  <c r="A34" i="1"/>
  <c r="B34" i="1"/>
  <c r="C34" i="1"/>
  <c r="D34" i="1"/>
  <c r="E34" i="1"/>
  <c r="A35" i="1"/>
  <c r="B35" i="1"/>
  <c r="C35" i="1"/>
  <c r="D35" i="1"/>
  <c r="E35" i="1"/>
  <c r="A22" i="1"/>
  <c r="B22" i="1"/>
  <c r="C22" i="1"/>
  <c r="D22" i="1"/>
  <c r="E22" i="1"/>
  <c r="A37" i="1"/>
  <c r="B37" i="1"/>
  <c r="C37" i="1"/>
  <c r="D37" i="1"/>
  <c r="E37" i="1"/>
  <c r="A36" i="1"/>
  <c r="B36" i="1"/>
  <c r="C36" i="1"/>
  <c r="D36" i="1"/>
  <c r="E36" i="1"/>
  <c r="A48" i="1"/>
  <c r="B48" i="1"/>
  <c r="C48" i="1"/>
  <c r="D48" i="1"/>
  <c r="E48" i="1"/>
  <c r="A42" i="1"/>
  <c r="B42" i="1"/>
  <c r="C42" i="1"/>
  <c r="D42" i="1"/>
  <c r="E42" i="1"/>
  <c r="A44" i="1"/>
  <c r="B44" i="1"/>
  <c r="C44" i="1"/>
  <c r="D44" i="1"/>
  <c r="E44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47" i="1"/>
  <c r="B47" i="1"/>
  <c r="C47" i="1"/>
  <c r="D47" i="1"/>
  <c r="E47" i="1"/>
  <c r="A40" i="1"/>
  <c r="B40" i="1"/>
  <c r="C40" i="1"/>
  <c r="D40" i="1"/>
  <c r="E40" i="1"/>
  <c r="A32" i="1"/>
  <c r="B32" i="1"/>
  <c r="C32" i="1"/>
  <c r="D32" i="1"/>
  <c r="E32" i="1"/>
  <c r="A62" i="1"/>
  <c r="B62" i="1"/>
  <c r="C62" i="1"/>
  <c r="D62" i="1"/>
  <c r="E62" i="1"/>
  <c r="A60" i="1"/>
  <c r="B60" i="1"/>
  <c r="C60" i="1"/>
  <c r="D60" i="1"/>
  <c r="E60" i="1"/>
  <c r="A64" i="1"/>
  <c r="B64" i="1"/>
  <c r="C64" i="1"/>
  <c r="D64" i="1"/>
  <c r="E64" i="1"/>
  <c r="A66" i="1"/>
  <c r="B66" i="1"/>
  <c r="C66" i="1"/>
  <c r="D66" i="1"/>
  <c r="E66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69" i="1"/>
  <c r="B69" i="1"/>
  <c r="C69" i="1"/>
  <c r="D69" i="1"/>
  <c r="E69" i="1"/>
  <c r="A80" i="1"/>
  <c r="B80" i="1"/>
  <c r="C80" i="1"/>
  <c r="D80" i="1"/>
  <c r="E80" i="1"/>
  <c r="A85" i="1"/>
  <c r="B85" i="1"/>
  <c r="C85" i="1"/>
  <c r="D85" i="1"/>
  <c r="E85" i="1"/>
  <c r="A86" i="1"/>
  <c r="B86" i="1"/>
  <c r="C86" i="1"/>
  <c r="D86" i="1"/>
  <c r="E86" i="1"/>
  <c r="A82" i="1"/>
  <c r="B82" i="1"/>
  <c r="C82" i="1"/>
  <c r="D82" i="1"/>
  <c r="E82" i="1"/>
  <c r="A83" i="1"/>
  <c r="B83" i="1"/>
  <c r="C83" i="1"/>
  <c r="D83" i="1"/>
  <c r="E83" i="1"/>
  <c r="A84" i="1"/>
  <c r="B84" i="1"/>
  <c r="C84" i="1"/>
  <c r="D84" i="1"/>
  <c r="E84" i="1"/>
  <c r="A87" i="1"/>
  <c r="B87" i="1"/>
  <c r="C87" i="1"/>
  <c r="D87" i="1"/>
  <c r="E87" i="1"/>
  <c r="A88" i="1"/>
  <c r="B88" i="1"/>
  <c r="C88" i="1"/>
  <c r="D88" i="1"/>
  <c r="E88" i="1"/>
  <c r="A89" i="1"/>
  <c r="B89" i="1"/>
  <c r="C89" i="1"/>
  <c r="D89" i="1"/>
  <c r="E89" i="1"/>
  <c r="A110" i="1"/>
  <c r="B110" i="1"/>
  <c r="C110" i="1"/>
  <c r="D110" i="1"/>
  <c r="E110" i="1"/>
  <c r="A125" i="1"/>
  <c r="B125" i="1"/>
  <c r="C125" i="1"/>
  <c r="D125" i="1"/>
  <c r="E125" i="1"/>
  <c r="A126" i="1"/>
  <c r="B126" i="1"/>
  <c r="C126" i="1"/>
  <c r="D126" i="1"/>
  <c r="E126" i="1"/>
  <c r="A112" i="1"/>
  <c r="B112" i="1"/>
  <c r="C112" i="1"/>
  <c r="D112" i="1"/>
  <c r="E112" i="1"/>
  <c r="A132" i="1"/>
  <c r="B132" i="1"/>
  <c r="C132" i="1"/>
  <c r="D132" i="1"/>
  <c r="E132" i="1"/>
  <c r="A136" i="1"/>
  <c r="B136" i="1"/>
  <c r="C136" i="1"/>
  <c r="D136" i="1"/>
  <c r="E136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37" i="1"/>
  <c r="B137" i="1"/>
  <c r="C137" i="1"/>
  <c r="D137" i="1"/>
  <c r="E137" i="1"/>
  <c r="A134" i="1"/>
  <c r="B134" i="1"/>
  <c r="C134" i="1"/>
  <c r="D134" i="1"/>
  <c r="E134" i="1"/>
  <c r="A138" i="1"/>
  <c r="B138" i="1"/>
  <c r="C138" i="1"/>
  <c r="D138" i="1"/>
  <c r="E138" i="1"/>
  <c r="A139" i="1"/>
  <c r="B139" i="1"/>
  <c r="C139" i="1"/>
  <c r="D139" i="1"/>
  <c r="E139" i="1"/>
  <c r="A114" i="1"/>
  <c r="B114" i="1"/>
  <c r="C114" i="1"/>
  <c r="D114" i="1"/>
  <c r="E114" i="1"/>
  <c r="A115" i="1"/>
  <c r="B115" i="1"/>
  <c r="C115" i="1"/>
  <c r="D115" i="1"/>
  <c r="E115" i="1"/>
  <c r="A145" i="1"/>
  <c r="B145" i="1"/>
  <c r="C145" i="1"/>
  <c r="D145" i="1"/>
  <c r="E145" i="1"/>
  <c r="A148" i="1"/>
  <c r="B148" i="1"/>
  <c r="C148" i="1"/>
  <c r="D148" i="1"/>
  <c r="E148" i="1"/>
  <c r="A152" i="1"/>
  <c r="B152" i="1"/>
  <c r="C152" i="1"/>
  <c r="D152" i="1"/>
  <c r="E152" i="1"/>
  <c r="A147" i="1"/>
  <c r="B147" i="1"/>
  <c r="C147" i="1"/>
  <c r="D147" i="1"/>
  <c r="E147" i="1"/>
  <c r="A151" i="1"/>
  <c r="B151" i="1"/>
  <c r="C151" i="1"/>
  <c r="D151" i="1"/>
  <c r="E151" i="1"/>
  <c r="A140" i="1"/>
  <c r="B140" i="1"/>
  <c r="C140" i="1"/>
  <c r="D140" i="1"/>
  <c r="E140" i="1"/>
  <c r="A155" i="1"/>
  <c r="B155" i="1"/>
  <c r="C155" i="1"/>
  <c r="D155" i="1"/>
  <c r="E155" i="1"/>
  <c r="A149" i="1"/>
  <c r="B149" i="1"/>
  <c r="C149" i="1"/>
  <c r="D149" i="1"/>
  <c r="E149" i="1"/>
  <c r="A157" i="1"/>
  <c r="B157" i="1"/>
  <c r="C157" i="1"/>
  <c r="D157" i="1"/>
  <c r="E157" i="1"/>
  <c r="A156" i="1"/>
  <c r="B156" i="1"/>
  <c r="C156" i="1"/>
  <c r="D156" i="1"/>
  <c r="E156" i="1"/>
  <c r="A161" i="1"/>
  <c r="B161" i="1"/>
  <c r="C161" i="1"/>
  <c r="D161" i="1"/>
  <c r="E161" i="1"/>
  <c r="A158" i="1"/>
  <c r="B158" i="1"/>
  <c r="C158" i="1"/>
  <c r="D158" i="1"/>
  <c r="E158" i="1"/>
  <c r="A177" i="1"/>
  <c r="B177" i="1"/>
  <c r="C177" i="1"/>
  <c r="D177" i="1"/>
  <c r="E177" i="1"/>
  <c r="A179" i="1"/>
  <c r="B179" i="1"/>
  <c r="C179" i="1"/>
  <c r="D179" i="1"/>
  <c r="E179" i="1"/>
  <c r="A180" i="1"/>
  <c r="B180" i="1"/>
  <c r="C180" i="1"/>
  <c r="D180" i="1"/>
  <c r="E180" i="1"/>
  <c r="A182" i="1"/>
  <c r="B182" i="1"/>
  <c r="C182" i="1"/>
  <c r="D182" i="1"/>
  <c r="E182" i="1"/>
  <c r="A166" i="1"/>
  <c r="B166" i="1"/>
  <c r="C166" i="1"/>
  <c r="D166" i="1"/>
  <c r="E166" i="1"/>
  <c r="A191" i="1"/>
  <c r="B191" i="1"/>
  <c r="C191" i="1"/>
  <c r="D191" i="1"/>
  <c r="E191" i="1"/>
  <c r="A167" i="1"/>
  <c r="B167" i="1"/>
  <c r="C167" i="1"/>
  <c r="D167" i="1"/>
  <c r="E167" i="1"/>
  <c r="A185" i="1"/>
  <c r="B185" i="1"/>
  <c r="C185" i="1"/>
  <c r="D185" i="1"/>
  <c r="E185" i="1"/>
  <c r="A175" i="1"/>
  <c r="B175" i="1"/>
  <c r="C175" i="1"/>
  <c r="D175" i="1"/>
  <c r="E175" i="1"/>
  <c r="A197" i="1"/>
  <c r="B197" i="1"/>
  <c r="C197" i="1"/>
  <c r="D197" i="1"/>
  <c r="E197" i="1"/>
  <c r="A170" i="1"/>
  <c r="B170" i="1"/>
  <c r="C170" i="1"/>
  <c r="D170" i="1"/>
  <c r="E170" i="1"/>
  <c r="A190" i="1"/>
  <c r="B190" i="1"/>
  <c r="C190" i="1"/>
  <c r="D190" i="1"/>
  <c r="E190" i="1"/>
  <c r="A196" i="1"/>
  <c r="B196" i="1"/>
  <c r="C196" i="1"/>
  <c r="D196" i="1"/>
  <c r="E196" i="1"/>
  <c r="A189" i="1"/>
  <c r="B189" i="1"/>
  <c r="C189" i="1"/>
  <c r="D189" i="1"/>
  <c r="E189" i="1"/>
  <c r="A200" i="1"/>
  <c r="B200" i="1"/>
  <c r="C200" i="1"/>
  <c r="D200" i="1"/>
  <c r="E200" i="1"/>
  <c r="A198" i="1"/>
  <c r="B198" i="1"/>
  <c r="C198" i="1"/>
  <c r="D198" i="1"/>
  <c r="E198" i="1"/>
  <c r="A174" i="1"/>
  <c r="B174" i="1"/>
  <c r="C174" i="1"/>
  <c r="D174" i="1"/>
  <c r="E174" i="1"/>
  <c r="A201" i="1"/>
  <c r="B201" i="1"/>
  <c r="C201" i="1"/>
  <c r="D201" i="1"/>
  <c r="E201" i="1"/>
  <c r="A204" i="1"/>
  <c r="B204" i="1"/>
  <c r="C204" i="1"/>
  <c r="D204" i="1"/>
  <c r="E204" i="1"/>
  <c r="A205" i="1"/>
  <c r="B205" i="1"/>
  <c r="C205" i="1"/>
  <c r="D205" i="1"/>
  <c r="E205" i="1"/>
  <c r="A211" i="1"/>
  <c r="B211" i="1"/>
  <c r="C211" i="1"/>
  <c r="D211" i="1"/>
  <c r="E211" i="1"/>
  <c r="A206" i="1"/>
  <c r="B206" i="1"/>
  <c r="C206" i="1"/>
  <c r="D206" i="1"/>
  <c r="E206" i="1"/>
  <c r="A215" i="1"/>
  <c r="B215" i="1"/>
  <c r="C215" i="1"/>
  <c r="D215" i="1"/>
  <c r="E215" i="1"/>
  <c r="A214" i="1"/>
  <c r="B214" i="1"/>
  <c r="C214" i="1"/>
  <c r="D214" i="1"/>
  <c r="E214" i="1"/>
  <c r="A217" i="1"/>
  <c r="B217" i="1"/>
  <c r="C217" i="1"/>
  <c r="D217" i="1"/>
  <c r="E217" i="1"/>
  <c r="A222" i="1"/>
  <c r="B222" i="1"/>
  <c r="C222" i="1"/>
  <c r="D222" i="1"/>
  <c r="E222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0" i="1"/>
  <c r="B10" i="1"/>
  <c r="C10" i="1"/>
  <c r="D10" i="1"/>
  <c r="E10" i="1"/>
  <c r="A11" i="1"/>
  <c r="B11" i="1"/>
  <c r="C11" i="1"/>
  <c r="D11" i="1"/>
  <c r="E11" i="1"/>
  <c r="A31" i="1"/>
  <c r="B31" i="1"/>
  <c r="C31" i="1"/>
  <c r="D31" i="1"/>
  <c r="E31" i="1"/>
  <c r="A20" i="1"/>
  <c r="B20" i="1"/>
  <c r="C20" i="1"/>
  <c r="D20" i="1"/>
  <c r="E20" i="1"/>
  <c r="A12" i="1"/>
  <c r="B12" i="1"/>
  <c r="C12" i="1"/>
  <c r="D12" i="1"/>
  <c r="E12" i="1"/>
  <c r="A13" i="1"/>
  <c r="B13" i="1"/>
  <c r="C13" i="1"/>
  <c r="D13" i="1"/>
  <c r="E13" i="1"/>
  <c r="A26" i="1"/>
  <c r="B26" i="1"/>
  <c r="C26" i="1"/>
  <c r="D26" i="1"/>
  <c r="E26" i="1"/>
  <c r="A30" i="1"/>
  <c r="B30" i="1"/>
  <c r="C30" i="1"/>
  <c r="D30" i="1"/>
  <c r="E30" i="1"/>
  <c r="A24" i="1"/>
  <c r="B24" i="1"/>
  <c r="C24" i="1"/>
  <c r="D24" i="1"/>
  <c r="E24" i="1"/>
  <c r="A41" i="1"/>
  <c r="B41" i="1"/>
  <c r="C41" i="1"/>
  <c r="D41" i="1"/>
  <c r="E41" i="1"/>
  <c r="A39" i="1"/>
  <c r="B39" i="1"/>
  <c r="C39" i="1"/>
  <c r="D39" i="1"/>
  <c r="E39" i="1"/>
  <c r="A45" i="1"/>
  <c r="B45" i="1"/>
  <c r="C45" i="1"/>
  <c r="D45" i="1"/>
  <c r="E45" i="1"/>
  <c r="A38" i="1"/>
  <c r="B38" i="1"/>
  <c r="C38" i="1"/>
  <c r="D38" i="1"/>
  <c r="E38" i="1"/>
  <c r="A46" i="1"/>
  <c r="B46" i="1"/>
  <c r="C46" i="1"/>
  <c r="D46" i="1"/>
  <c r="E46" i="1"/>
  <c r="A43" i="1"/>
  <c r="B43" i="1"/>
  <c r="C43" i="1"/>
  <c r="D43" i="1"/>
  <c r="E43" i="1"/>
  <c r="A59" i="1"/>
  <c r="B59" i="1"/>
  <c r="C59" i="1"/>
  <c r="D59" i="1"/>
  <c r="E59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7" i="1"/>
  <c r="B57" i="1"/>
  <c r="C57" i="1"/>
  <c r="D57" i="1"/>
  <c r="E57" i="1"/>
  <c r="A58" i="1"/>
  <c r="B58" i="1"/>
  <c r="C58" i="1"/>
  <c r="D58" i="1"/>
  <c r="E58" i="1"/>
  <c r="A56" i="1"/>
  <c r="B56" i="1"/>
  <c r="C56" i="1"/>
  <c r="D56" i="1"/>
  <c r="E56" i="1"/>
  <c r="A33" i="1"/>
  <c r="B33" i="1"/>
  <c r="C33" i="1"/>
  <c r="D33" i="1"/>
  <c r="E33" i="1"/>
  <c r="A67" i="1"/>
  <c r="B67" i="1"/>
  <c r="C67" i="1"/>
  <c r="D67" i="1"/>
  <c r="E67" i="1"/>
  <c r="A61" i="1"/>
  <c r="B61" i="1"/>
  <c r="C61" i="1"/>
  <c r="D61" i="1"/>
  <c r="E61" i="1"/>
  <c r="A63" i="1"/>
  <c r="B63" i="1"/>
  <c r="C63" i="1"/>
  <c r="D63" i="1"/>
  <c r="E63" i="1"/>
  <c r="A68" i="1"/>
  <c r="B68" i="1"/>
  <c r="C68" i="1"/>
  <c r="D68" i="1"/>
  <c r="E68" i="1"/>
  <c r="A65" i="1"/>
  <c r="B65" i="1"/>
  <c r="C65" i="1"/>
  <c r="D65" i="1"/>
  <c r="E65" i="1"/>
  <c r="A77" i="1"/>
  <c r="B77" i="1"/>
  <c r="C77" i="1"/>
  <c r="D77" i="1"/>
  <c r="E77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9" i="1"/>
  <c r="B79" i="1"/>
  <c r="C79" i="1"/>
  <c r="D79" i="1"/>
  <c r="E79" i="1"/>
  <c r="A81" i="1"/>
  <c r="B81" i="1"/>
  <c r="C81" i="1"/>
  <c r="D81" i="1"/>
  <c r="E81" i="1"/>
  <c r="A70" i="1"/>
  <c r="B70" i="1"/>
  <c r="C70" i="1"/>
  <c r="D70" i="1"/>
  <c r="E70" i="1"/>
  <c r="A78" i="1"/>
  <c r="B78" i="1"/>
  <c r="C78" i="1"/>
  <c r="D78" i="1"/>
  <c r="E78" i="1"/>
  <c r="A96" i="1"/>
  <c r="B96" i="1"/>
  <c r="C96" i="1"/>
  <c r="D96" i="1"/>
  <c r="E96" i="1"/>
  <c r="A97" i="1"/>
  <c r="B97" i="1"/>
  <c r="C97" i="1"/>
  <c r="D97" i="1"/>
  <c r="E97" i="1"/>
  <c r="A98" i="1"/>
  <c r="B98" i="1"/>
  <c r="C98" i="1"/>
  <c r="D98" i="1"/>
  <c r="E98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3" i="1"/>
  <c r="B103" i="1"/>
  <c r="C103" i="1"/>
  <c r="D103" i="1"/>
  <c r="E103" i="1"/>
  <c r="A90" i="1"/>
  <c r="B90" i="1"/>
  <c r="C90" i="1"/>
  <c r="D90" i="1"/>
  <c r="E90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102" i="1"/>
  <c r="B102" i="1"/>
  <c r="C102" i="1"/>
  <c r="D102" i="1"/>
  <c r="E102" i="1"/>
  <c r="A104" i="1"/>
  <c r="B104" i="1"/>
  <c r="C104" i="1"/>
  <c r="D104" i="1"/>
  <c r="E104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11" i="1"/>
  <c r="B111" i="1"/>
  <c r="C111" i="1"/>
  <c r="D111" i="1"/>
  <c r="E111" i="1"/>
  <c r="A105" i="1"/>
  <c r="B105" i="1"/>
  <c r="C105" i="1"/>
  <c r="D105" i="1"/>
  <c r="E105" i="1"/>
  <c r="A130" i="1"/>
  <c r="B130" i="1"/>
  <c r="C130" i="1"/>
  <c r="D130" i="1"/>
  <c r="E130" i="1"/>
  <c r="A127" i="1"/>
  <c r="B127" i="1"/>
  <c r="C127" i="1"/>
  <c r="D127" i="1"/>
  <c r="E127" i="1"/>
  <c r="A128" i="1"/>
  <c r="B128" i="1"/>
  <c r="C128" i="1"/>
  <c r="D128" i="1"/>
  <c r="E128" i="1"/>
  <c r="A129" i="1"/>
  <c r="B129" i="1"/>
  <c r="C129" i="1"/>
  <c r="D129" i="1"/>
  <c r="E129" i="1"/>
  <c r="A124" i="1"/>
  <c r="B124" i="1"/>
  <c r="C124" i="1"/>
  <c r="D124" i="1"/>
  <c r="E124" i="1"/>
  <c r="A120" i="1"/>
  <c r="B120" i="1"/>
  <c r="C120" i="1"/>
  <c r="D120" i="1"/>
  <c r="E120" i="1"/>
  <c r="A135" i="1"/>
  <c r="B135" i="1"/>
  <c r="C135" i="1"/>
  <c r="D135" i="1"/>
  <c r="E135" i="1"/>
  <c r="A133" i="1"/>
  <c r="B133" i="1"/>
  <c r="C133" i="1"/>
  <c r="D133" i="1"/>
  <c r="E133" i="1"/>
  <c r="A113" i="1"/>
  <c r="B113" i="1"/>
  <c r="C113" i="1"/>
  <c r="D113" i="1"/>
  <c r="E113" i="1"/>
  <c r="A131" i="1"/>
  <c r="B131" i="1"/>
  <c r="C131" i="1"/>
  <c r="D131" i="1"/>
  <c r="E131" i="1"/>
  <c r="A116" i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42" i="1"/>
  <c r="B142" i="1"/>
  <c r="C142" i="1"/>
  <c r="D142" i="1"/>
  <c r="E142" i="1"/>
  <c r="A143" i="1"/>
  <c r="B143" i="1"/>
  <c r="C143" i="1"/>
  <c r="D143" i="1"/>
  <c r="E143" i="1"/>
  <c r="A144" i="1"/>
  <c r="B144" i="1"/>
  <c r="C144" i="1"/>
  <c r="D144" i="1"/>
  <c r="E144" i="1"/>
  <c r="A141" i="1"/>
  <c r="B141" i="1"/>
  <c r="C141" i="1"/>
  <c r="D141" i="1"/>
  <c r="E141" i="1"/>
  <c r="A153" i="1"/>
  <c r="B153" i="1"/>
  <c r="C153" i="1"/>
  <c r="D153" i="1"/>
  <c r="E153" i="1"/>
  <c r="A154" i="1"/>
  <c r="B154" i="1"/>
  <c r="C154" i="1"/>
  <c r="D154" i="1"/>
  <c r="E154" i="1"/>
  <c r="A146" i="1"/>
  <c r="B146" i="1"/>
  <c r="C146" i="1"/>
  <c r="D146" i="1"/>
  <c r="E146" i="1"/>
  <c r="A150" i="1"/>
  <c r="B150" i="1"/>
  <c r="C150" i="1"/>
  <c r="D150" i="1"/>
  <c r="E150" i="1"/>
  <c r="A160" i="1"/>
  <c r="B160" i="1"/>
  <c r="C160" i="1"/>
  <c r="D160" i="1"/>
  <c r="E160" i="1"/>
  <c r="A159" i="1"/>
  <c r="B159" i="1"/>
  <c r="C159" i="1"/>
  <c r="D159" i="1"/>
  <c r="E159" i="1"/>
  <c r="A163" i="1"/>
  <c r="B163" i="1"/>
  <c r="C163" i="1"/>
  <c r="D163" i="1"/>
  <c r="E163" i="1"/>
  <c r="A169" i="1"/>
  <c r="B169" i="1"/>
  <c r="C169" i="1"/>
  <c r="D169" i="1"/>
  <c r="E169" i="1"/>
  <c r="A162" i="1"/>
  <c r="B162" i="1"/>
  <c r="C162" i="1"/>
  <c r="D162" i="1"/>
  <c r="E162" i="1"/>
  <c r="A164" i="1"/>
  <c r="B164" i="1"/>
  <c r="C164" i="1"/>
  <c r="D164" i="1"/>
  <c r="E164" i="1"/>
  <c r="A176" i="1"/>
  <c r="B176" i="1"/>
  <c r="C176" i="1"/>
  <c r="D176" i="1"/>
  <c r="E176" i="1"/>
  <c r="A181" i="1"/>
  <c r="B181" i="1"/>
  <c r="C181" i="1"/>
  <c r="D181" i="1"/>
  <c r="E181" i="1"/>
  <c r="A192" i="1"/>
  <c r="B192" i="1"/>
  <c r="C192" i="1"/>
  <c r="D192" i="1"/>
  <c r="E192" i="1"/>
  <c r="A184" i="1"/>
  <c r="B184" i="1"/>
  <c r="C184" i="1"/>
  <c r="D184" i="1"/>
  <c r="E184" i="1"/>
  <c r="A178" i="1"/>
  <c r="B178" i="1"/>
  <c r="C178" i="1"/>
  <c r="D178" i="1"/>
  <c r="E178" i="1"/>
  <c r="A172" i="1"/>
  <c r="B172" i="1"/>
  <c r="C172" i="1"/>
  <c r="D172" i="1"/>
  <c r="E172" i="1"/>
  <c r="A171" i="1"/>
  <c r="B171" i="1"/>
  <c r="C171" i="1"/>
  <c r="D171" i="1"/>
  <c r="E171" i="1"/>
  <c r="A165" i="1"/>
  <c r="B165" i="1"/>
  <c r="C165" i="1"/>
  <c r="D165" i="1"/>
  <c r="E165" i="1"/>
  <c r="A173" i="1"/>
  <c r="B173" i="1"/>
  <c r="C173" i="1"/>
  <c r="D173" i="1"/>
  <c r="E173" i="1"/>
  <c r="A187" i="1"/>
  <c r="B187" i="1"/>
  <c r="C187" i="1"/>
  <c r="D187" i="1"/>
  <c r="E187" i="1"/>
  <c r="A183" i="1"/>
  <c r="B183" i="1"/>
  <c r="C183" i="1"/>
  <c r="D183" i="1"/>
  <c r="E183" i="1"/>
  <c r="A168" i="1"/>
  <c r="B168" i="1"/>
  <c r="C168" i="1"/>
  <c r="D168" i="1"/>
  <c r="E168" i="1"/>
  <c r="A193" i="1"/>
  <c r="B193" i="1"/>
  <c r="C193" i="1"/>
  <c r="D193" i="1"/>
  <c r="E193" i="1"/>
  <c r="A188" i="1"/>
  <c r="B188" i="1"/>
  <c r="C188" i="1"/>
  <c r="D188" i="1"/>
  <c r="E188" i="1"/>
  <c r="A186" i="1"/>
  <c r="B186" i="1"/>
  <c r="C186" i="1"/>
  <c r="D186" i="1"/>
  <c r="E186" i="1"/>
  <c r="A194" i="1"/>
  <c r="B194" i="1"/>
  <c r="C194" i="1"/>
  <c r="D194" i="1"/>
  <c r="E194" i="1"/>
  <c r="A195" i="1"/>
  <c r="B195" i="1"/>
  <c r="C195" i="1"/>
  <c r="D195" i="1"/>
  <c r="E195" i="1"/>
  <c r="A199" i="1"/>
  <c r="B199" i="1"/>
  <c r="C199" i="1"/>
  <c r="D199" i="1"/>
  <c r="E199" i="1"/>
  <c r="A202" i="1"/>
  <c r="B202" i="1"/>
  <c r="C202" i="1"/>
  <c r="D202" i="1"/>
  <c r="E202" i="1"/>
  <c r="A203" i="1"/>
  <c r="B203" i="1"/>
  <c r="C203" i="1"/>
  <c r="D203" i="1"/>
  <c r="E203" i="1"/>
  <c r="A207" i="1"/>
  <c r="B207" i="1"/>
  <c r="C207" i="1"/>
  <c r="D207" i="1"/>
  <c r="E207" i="1"/>
  <c r="A208" i="1"/>
  <c r="B208" i="1"/>
  <c r="C208" i="1"/>
  <c r="D208" i="1"/>
  <c r="E208" i="1"/>
  <c r="A212" i="1"/>
  <c r="B212" i="1"/>
  <c r="C212" i="1"/>
  <c r="D212" i="1"/>
  <c r="E212" i="1"/>
  <c r="A210" i="1"/>
  <c r="B210" i="1"/>
  <c r="C210" i="1"/>
  <c r="D210" i="1"/>
  <c r="E210" i="1"/>
  <c r="A213" i="1"/>
  <c r="B213" i="1"/>
  <c r="C213" i="1"/>
  <c r="D213" i="1"/>
  <c r="E213" i="1"/>
  <c r="A216" i="1"/>
  <c r="B216" i="1"/>
  <c r="C216" i="1"/>
  <c r="D216" i="1"/>
  <c r="E216" i="1"/>
  <c r="A209" i="1"/>
  <c r="B209" i="1"/>
  <c r="C209" i="1"/>
  <c r="D209" i="1"/>
  <c r="E209" i="1"/>
  <c r="A220" i="1"/>
  <c r="B220" i="1"/>
  <c r="C220" i="1"/>
  <c r="D220" i="1"/>
  <c r="E220" i="1"/>
  <c r="A221" i="1"/>
  <c r="B221" i="1"/>
  <c r="C221" i="1"/>
  <c r="D221" i="1"/>
  <c r="E221" i="1"/>
  <c r="A218" i="1"/>
  <c r="B218" i="1"/>
  <c r="C218" i="1"/>
  <c r="D218" i="1"/>
  <c r="E218" i="1"/>
  <c r="A219" i="1"/>
  <c r="B219" i="1"/>
  <c r="C219" i="1"/>
  <c r="D219" i="1"/>
  <c r="E219" i="1"/>
  <c r="A223" i="1"/>
  <c r="B223" i="1"/>
  <c r="C223" i="1"/>
  <c r="D223" i="1"/>
  <c r="E223" i="1"/>
</calcChain>
</file>

<file path=xl/sharedStrings.xml><?xml version="1.0" encoding="utf-8"?>
<sst xmlns="http://schemas.openxmlformats.org/spreadsheetml/2006/main" count="17" uniqueCount="16">
  <si>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</si>
  <si>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</si>
  <si>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</si>
  <si>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</si>
  <si>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</si>
  <si>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</si>
  <si>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Отчет об остатках на балансовых и внебалансовых счетах банков второго уровня</t>
  </si>
  <si>
    <t>АО "Исламский банк "Заман-Банк"</t>
  </si>
  <si>
    <t>за 29 декабря 2023 год</t>
  </si>
  <si>
    <t>Исполнитель</t>
  </si>
  <si>
    <t xml:space="preserve">                      </t>
  </si>
  <si>
    <t>ФИО     Подпись   Телефон</t>
  </si>
  <si>
    <t>Главный бухгалтер или лицо, уполномоченное на подписание отчета:</t>
  </si>
  <si>
    <t>Первый руководитель или лицо, уполномоченное на подписание отчета:</t>
  </si>
  <si>
    <t>Асаева Г.Е.                      8(7172)262026</t>
  </si>
  <si>
    <t>Шатанова Г.К.                      8(7172)262026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</si>
</sst>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 #,##0_-;\-\ #,##0_-;_-\ &quot; &quot;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164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left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topLeftCell="A208" workbookViewId="0">
      <selection activeCell="H238" sqref="H238"/>
    </sheetView>
  </sheetViews>
  <sheetFormatPr defaultRowHeight="15" x14ac:dyDescent="0.25"/>
  <cols>
    <col min="2" max="2" width="45" customWidth="1"/>
    <col min="6" max="6" width="17.28515625" style="1" bestFit="1" customWidth="1"/>
    <col min="7" max="7" width="18.28515625" bestFit="1" customWidth="1"/>
    <col min="8" max="8" width="16.28515625" bestFit="1" customWidth="1"/>
  </cols>
  <sheetData>
    <row r="1" spans="1:8" x14ac:dyDescent="0.25">
      <c r="B1" t="s">
        <v>6</v>
      </c>
    </row>
    <row r="2" spans="1:8" x14ac:dyDescent="0.25">
      <c r="B2" t="s">
        <v>7</v>
      </c>
    </row>
    <row r="3" spans="1:8" x14ac:dyDescent="0.25">
      <c r="B3" t="s">
        <v>8</v>
      </c>
    </row>
    <row r="5" spans="1:8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s="1" t="s">
        <v>5</v>
      </c>
      <c r="G5" s="2"/>
      <c r="H5" s="3"/>
    </row>
    <row r="6" spans="1:8" x14ac:dyDescent="0.25">
      <c r="A6" t="str">
        <f>"1001"</f>
        <v>1001</v>
      </c>
      <c r="B6" t="str">
        <f>"Наличность в кассе"</f>
        <v>Наличность в кассе</v>
      </c>
      <c r="C6" t="str">
        <f>"1"</f>
        <v>1</v>
      </c>
      <c r="D6" t="str">
        <f t="shared" ref="D6:D13" si="0">"3"</f>
        <v>3</v>
      </c>
      <c r="E6" t="str">
        <f>"1"</f>
        <v>1</v>
      </c>
      <c r="F6" s="1">
        <v>198681703</v>
      </c>
    </row>
    <row r="7" spans="1:8" x14ac:dyDescent="0.25">
      <c r="A7" t="str">
        <f>"1001"</f>
        <v>1001</v>
      </c>
      <c r="B7" t="str">
        <f>"Наличность в кассе"</f>
        <v>Наличность в кассе</v>
      </c>
      <c r="C7" t="str">
        <f>"2"</f>
        <v>2</v>
      </c>
      <c r="D7" t="str">
        <f t="shared" si="0"/>
        <v>3</v>
      </c>
      <c r="E7" t="str">
        <f>"2"</f>
        <v>2</v>
      </c>
      <c r="F7" s="1">
        <v>314070040</v>
      </c>
    </row>
    <row r="8" spans="1:8" x14ac:dyDescent="0.25">
      <c r="A8" t="str">
        <f>"1001"</f>
        <v>1001</v>
      </c>
      <c r="B8" t="str">
        <f>"Наличность в кассе"</f>
        <v>Наличность в кассе</v>
      </c>
      <c r="C8" t="str">
        <f>"2"</f>
        <v>2</v>
      </c>
      <c r="D8" t="str">
        <f t="shared" si="0"/>
        <v>3</v>
      </c>
      <c r="E8" t="str">
        <f>"3"</f>
        <v>3</v>
      </c>
      <c r="F8" s="1">
        <v>13644290</v>
      </c>
    </row>
    <row r="9" spans="1:8" x14ac:dyDescent="0.25">
      <c r="A9" t="str">
        <f>"1002"</f>
        <v>1002</v>
      </c>
      <c r="B9" t="str">
        <f>"Банкноты и монеты в пути"</f>
        <v>Банкноты и монеты в пути</v>
      </c>
      <c r="C9" t="str">
        <f>"2"</f>
        <v>2</v>
      </c>
      <c r="D9" t="str">
        <f t="shared" si="0"/>
        <v>3</v>
      </c>
      <c r="E9" t="str">
        <f>"2"</f>
        <v>2</v>
      </c>
      <c r="F9" s="1">
        <v>6162747.2000000002</v>
      </c>
    </row>
    <row r="10" spans="1:8" x14ac:dyDescent="0.25">
      <c r="A10" t="str">
        <f>"1002"</f>
        <v>1002</v>
      </c>
      <c r="B10" t="str">
        <f>"Банкноты и монеты в пути"</f>
        <v>Банкноты и монеты в пути</v>
      </c>
      <c r="C10" t="str">
        <f>"2"</f>
        <v>2</v>
      </c>
      <c r="D10" t="str">
        <f t="shared" si="0"/>
        <v>3</v>
      </c>
      <c r="E10" t="str">
        <f>"3"</f>
        <v>3</v>
      </c>
      <c r="F10" s="1">
        <v>632659137</v>
      </c>
    </row>
    <row r="11" spans="1:8" x14ac:dyDescent="0.25">
      <c r="A11" t="str">
        <f>"1002"</f>
        <v>1002</v>
      </c>
      <c r="B11" t="str">
        <f>"Банкноты и монеты в пути"</f>
        <v>Банкноты и монеты в пути</v>
      </c>
      <c r="C11" t="str">
        <f>"1"</f>
        <v>1</v>
      </c>
      <c r="D11" t="str">
        <f t="shared" si="0"/>
        <v>3</v>
      </c>
      <c r="E11" t="str">
        <f>"1"</f>
        <v>1</v>
      </c>
      <c r="F11" s="1">
        <v>39321250</v>
      </c>
    </row>
    <row r="12" spans="1:8" x14ac:dyDescent="0.25">
      <c r="A12" t="str">
        <f>"1051"</f>
        <v>1051</v>
      </c>
      <c r="B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2" t="str">
        <f>"1"</f>
        <v>1</v>
      </c>
      <c r="D12" t="str">
        <f t="shared" si="0"/>
        <v>3</v>
      </c>
      <c r="E12" t="str">
        <f>"2"</f>
        <v>2</v>
      </c>
      <c r="F12" s="1">
        <v>140142.5</v>
      </c>
    </row>
    <row r="13" spans="1:8" x14ac:dyDescent="0.25">
      <c r="A13" t="str">
        <f>"1051"</f>
        <v>1051</v>
      </c>
      <c r="B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3" t="str">
        <f>"1"</f>
        <v>1</v>
      </c>
      <c r="D13" t="str">
        <f t="shared" si="0"/>
        <v>3</v>
      </c>
      <c r="E13" t="str">
        <f>"1"</f>
        <v>1</v>
      </c>
      <c r="F13" s="1">
        <v>358341821.14999998</v>
      </c>
    </row>
    <row r="14" spans="1:8" x14ac:dyDescent="0.25">
      <c r="A14" t="str">
        <f>"1052"</f>
        <v>1052</v>
      </c>
      <c r="B14" t="str">
        <f>"Корреспондентские счета в других банках"</f>
        <v>Корреспондентские счета в других банках</v>
      </c>
      <c r="C14" t="str">
        <f>"1"</f>
        <v>1</v>
      </c>
      <c r="D14" t="str">
        <f>"4"</f>
        <v>4</v>
      </c>
      <c r="E14" t="str">
        <f>"3"</f>
        <v>3</v>
      </c>
      <c r="F14" s="1">
        <v>46805</v>
      </c>
    </row>
    <row r="15" spans="1:8" x14ac:dyDescent="0.25">
      <c r="A15" t="str">
        <f>"1052"</f>
        <v>1052</v>
      </c>
      <c r="B15" t="str">
        <f>"Корреспондентские счета в других банках"</f>
        <v>Корреспондентские счета в других банках</v>
      </c>
      <c r="C15" t="str">
        <f>"1"</f>
        <v>1</v>
      </c>
      <c r="D15" t="str">
        <f>"4"</f>
        <v>4</v>
      </c>
      <c r="E15" t="str">
        <f>"2"</f>
        <v>2</v>
      </c>
      <c r="F15" s="1">
        <v>14803449.300000001</v>
      </c>
    </row>
    <row r="16" spans="1:8" x14ac:dyDescent="0.25">
      <c r="A16" t="str">
        <f>"1052"</f>
        <v>1052</v>
      </c>
      <c r="B16" t="str">
        <f>"Корреспондентские счета в других банках"</f>
        <v>Корреспондентские счета в других банках</v>
      </c>
      <c r="C16" t="str">
        <f>"2"</f>
        <v>2</v>
      </c>
      <c r="D16" t="str">
        <f>"4"</f>
        <v>4</v>
      </c>
      <c r="E16" t="str">
        <f>"3"</f>
        <v>3</v>
      </c>
      <c r="F16" s="1">
        <v>61707259.979999997</v>
      </c>
    </row>
    <row r="17" spans="1:6" x14ac:dyDescent="0.25">
      <c r="A17" t="str">
        <f>"1052"</f>
        <v>1052</v>
      </c>
      <c r="B17" t="str">
        <f>"Корреспондентские счета в других банках"</f>
        <v>Корреспондентские счета в других банках</v>
      </c>
      <c r="C17" t="str">
        <f>"2"</f>
        <v>2</v>
      </c>
      <c r="D17" t="str">
        <f>"4"</f>
        <v>4</v>
      </c>
      <c r="E17" t="str">
        <f>"2"</f>
        <v>2</v>
      </c>
      <c r="F17" s="1">
        <v>9192137.7200000007</v>
      </c>
    </row>
    <row r="18" spans="1:6" x14ac:dyDescent="0.25">
      <c r="A18" t="str">
        <f>"1054"</f>
        <v>1054</v>
      </c>
      <c r="B1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t="str">
        <f>"2"</f>
        <v>2</v>
      </c>
      <c r="D18" t="str">
        <f>"4"</f>
        <v>4</v>
      </c>
      <c r="E18" t="str">
        <f t="shared" ref="E18:E32" si="1">"1"</f>
        <v>1</v>
      </c>
      <c r="F18" s="1">
        <v>-48417144.07</v>
      </c>
    </row>
    <row r="19" spans="1:6" x14ac:dyDescent="0.25">
      <c r="A19" t="str">
        <f>"1101"</f>
        <v>1101</v>
      </c>
      <c r="B1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19" t="str">
        <f t="shared" ref="C19:C32" si="2">"1"</f>
        <v>1</v>
      </c>
      <c r="D19" t="str">
        <f>"3"</f>
        <v>3</v>
      </c>
      <c r="E19" t="str">
        <f t="shared" si="1"/>
        <v>1</v>
      </c>
      <c r="F19" s="1">
        <v>2400000000</v>
      </c>
    </row>
    <row r="20" spans="1:6" x14ac:dyDescent="0.25">
      <c r="A20" t="str">
        <f>"1267"</f>
        <v>1267</v>
      </c>
      <c r="B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0" t="str">
        <f t="shared" si="2"/>
        <v>1</v>
      </c>
      <c r="D20" t="str">
        <f>"5"</f>
        <v>5</v>
      </c>
      <c r="E20" t="str">
        <f t="shared" si="1"/>
        <v>1</v>
      </c>
      <c r="F20" s="1">
        <v>25000000</v>
      </c>
    </row>
    <row r="21" spans="1:6" x14ac:dyDescent="0.25">
      <c r="A21" t="str">
        <f>"1417"</f>
        <v>1417</v>
      </c>
      <c r="B21" t="str">
        <f>"Долгосрочные займы, предоставленные клиентам"</f>
        <v>Долгосрочные займы, предоставленные клиентам</v>
      </c>
      <c r="C21" t="str">
        <f t="shared" si="2"/>
        <v>1</v>
      </c>
      <c r="D21" t="str">
        <f>"9"</f>
        <v>9</v>
      </c>
      <c r="E21" t="str">
        <f t="shared" si="1"/>
        <v>1</v>
      </c>
      <c r="F21" s="1">
        <v>11700810</v>
      </c>
    </row>
    <row r="22" spans="1:6" x14ac:dyDescent="0.25">
      <c r="A22" t="str">
        <f>"1424"</f>
        <v>1424</v>
      </c>
      <c r="B22" t="str">
        <f>"Просроченная задолженность клиентов по займам"</f>
        <v>Просроченная задолженность клиентов по займам</v>
      </c>
      <c r="C22" t="str">
        <f t="shared" si="2"/>
        <v>1</v>
      </c>
      <c r="D22" t="str">
        <f>"7"</f>
        <v>7</v>
      </c>
      <c r="E22" t="str">
        <f t="shared" si="1"/>
        <v>1</v>
      </c>
      <c r="F22" s="1">
        <v>22802893</v>
      </c>
    </row>
    <row r="23" spans="1:6" x14ac:dyDescent="0.25">
      <c r="A23" t="str">
        <f>"1426"</f>
        <v>1426</v>
      </c>
      <c r="B23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C23" t="str">
        <f t="shared" si="2"/>
        <v>1</v>
      </c>
      <c r="D23" t="str">
        <f>"7"</f>
        <v>7</v>
      </c>
      <c r="E23" t="str">
        <f t="shared" si="1"/>
        <v>1</v>
      </c>
      <c r="F23" s="1">
        <v>18787841931.740002</v>
      </c>
    </row>
    <row r="24" spans="1:6" x14ac:dyDescent="0.25">
      <c r="A24" t="str">
        <f>"1426"</f>
        <v>1426</v>
      </c>
      <c r="B24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C24" t="str">
        <f t="shared" si="2"/>
        <v>1</v>
      </c>
      <c r="D24" t="str">
        <f>"9"</f>
        <v>9</v>
      </c>
      <c r="E24" t="str">
        <f t="shared" si="1"/>
        <v>1</v>
      </c>
      <c r="F24" s="1">
        <v>254986183</v>
      </c>
    </row>
    <row r="25" spans="1:6" x14ac:dyDescent="0.25">
      <c r="A25" t="str">
        <f>"1427"</f>
        <v>1427</v>
      </c>
      <c r="B25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C25" t="str">
        <f t="shared" si="2"/>
        <v>1</v>
      </c>
      <c r="D25" t="str">
        <f>"9"</f>
        <v>9</v>
      </c>
      <c r="E25" t="str">
        <f t="shared" si="1"/>
        <v>1</v>
      </c>
      <c r="F25" s="1">
        <v>77737410</v>
      </c>
    </row>
    <row r="26" spans="1:6" x14ac:dyDescent="0.25">
      <c r="A26" t="str">
        <f>"1427"</f>
        <v>1427</v>
      </c>
      <c r="B26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C26" t="str">
        <f t="shared" si="2"/>
        <v>1</v>
      </c>
      <c r="D26" t="str">
        <f>"7"</f>
        <v>7</v>
      </c>
      <c r="E26" t="str">
        <f t="shared" si="1"/>
        <v>1</v>
      </c>
      <c r="F26" s="1">
        <v>2160480257.0300002</v>
      </c>
    </row>
    <row r="27" spans="1:6" x14ac:dyDescent="0.25">
      <c r="A27" t="str">
        <f>"1428"</f>
        <v>1428</v>
      </c>
      <c r="B2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t="str">
        <f t="shared" si="2"/>
        <v>1</v>
      </c>
      <c r="D27" t="str">
        <f>"9"</f>
        <v>9</v>
      </c>
      <c r="E27" t="str">
        <f t="shared" si="1"/>
        <v>1</v>
      </c>
      <c r="F27" s="1">
        <v>-147566615</v>
      </c>
    </row>
    <row r="28" spans="1:6" x14ac:dyDescent="0.25">
      <c r="A28" t="str">
        <f>"1428"</f>
        <v>1428</v>
      </c>
      <c r="B2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8" t="str">
        <f t="shared" si="2"/>
        <v>1</v>
      </c>
      <c r="D28" t="str">
        <f>"7"</f>
        <v>7</v>
      </c>
      <c r="E28" t="str">
        <f t="shared" si="1"/>
        <v>1</v>
      </c>
      <c r="F28" s="1">
        <v>-4529926527</v>
      </c>
    </row>
    <row r="29" spans="1:6" x14ac:dyDescent="0.25">
      <c r="A29" t="str">
        <f>"1430"</f>
        <v>1430</v>
      </c>
      <c r="B29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C29" t="str">
        <f t="shared" si="2"/>
        <v>1</v>
      </c>
      <c r="D29" t="str">
        <f>"9"</f>
        <v>9</v>
      </c>
      <c r="E29" t="str">
        <f t="shared" si="1"/>
        <v>1</v>
      </c>
      <c r="F29" s="1">
        <v>34454019</v>
      </c>
    </row>
    <row r="30" spans="1:6" x14ac:dyDescent="0.25">
      <c r="A30" t="str">
        <f>"1430"</f>
        <v>1430</v>
      </c>
      <c r="B30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C30" t="str">
        <f t="shared" si="2"/>
        <v>1</v>
      </c>
      <c r="D30" t="str">
        <f>"7"</f>
        <v>7</v>
      </c>
      <c r="E30" t="str">
        <f t="shared" si="1"/>
        <v>1</v>
      </c>
      <c r="F30" s="1">
        <v>53100459</v>
      </c>
    </row>
    <row r="31" spans="1:6" x14ac:dyDescent="0.25">
      <c r="A31" t="str">
        <f>"1431"</f>
        <v>1431</v>
      </c>
      <c r="B3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C31" t="str">
        <f t="shared" si="2"/>
        <v>1</v>
      </c>
      <c r="D31" t="str">
        <f>"7"</f>
        <v>7</v>
      </c>
      <c r="E31" t="str">
        <f t="shared" si="1"/>
        <v>1</v>
      </c>
      <c r="F31" s="1">
        <v>-726439</v>
      </c>
    </row>
    <row r="32" spans="1:6" x14ac:dyDescent="0.25">
      <c r="A32" t="str">
        <f>"1553"</f>
        <v>1553</v>
      </c>
      <c r="B32" t="str">
        <f>"Расчеты с клиентами по инвестиционным депозитам"</f>
        <v>Расчеты с клиентами по инвестиционным депозитам</v>
      </c>
      <c r="C32" t="str">
        <f t="shared" si="2"/>
        <v>1</v>
      </c>
      <c r="D32" t="str">
        <f>"7"</f>
        <v>7</v>
      </c>
      <c r="E32" t="str">
        <f t="shared" si="1"/>
        <v>1</v>
      </c>
      <c r="F32" s="1">
        <v>1626725215.3699999</v>
      </c>
    </row>
    <row r="33" spans="1:6" x14ac:dyDescent="0.25">
      <c r="A33" t="str">
        <f>"1602"</f>
        <v>1602</v>
      </c>
      <c r="B33" t="str">
        <f>"Прочие запасы"</f>
        <v>Прочие запасы</v>
      </c>
      <c r="C33" t="str">
        <f>""</f>
        <v/>
      </c>
      <c r="D33" t="str">
        <f>""</f>
        <v/>
      </c>
      <c r="E33" t="str">
        <f>""</f>
        <v/>
      </c>
      <c r="F33" s="1">
        <v>191252190.55000001</v>
      </c>
    </row>
    <row r="34" spans="1:6" x14ac:dyDescent="0.25">
      <c r="A34" t="str">
        <f>"1652"</f>
        <v>1652</v>
      </c>
      <c r="B34" t="str">
        <f>"Земля, здания и сооружения"</f>
        <v>Земля, здания и сооружения</v>
      </c>
      <c r="C34" t="str">
        <f>""</f>
        <v/>
      </c>
      <c r="D34" t="str">
        <f>""</f>
        <v/>
      </c>
      <c r="E34" t="str">
        <f>""</f>
        <v/>
      </c>
      <c r="F34" s="1">
        <v>1120212</v>
      </c>
    </row>
    <row r="35" spans="1:6" x14ac:dyDescent="0.25">
      <c r="A35" t="str">
        <f>"1653"</f>
        <v>1653</v>
      </c>
      <c r="B35" t="str">
        <f>"Компьютерное оборудование"</f>
        <v>Компьютерное оборудование</v>
      </c>
      <c r="C35" t="str">
        <f>""</f>
        <v/>
      </c>
      <c r="D35" t="str">
        <f>""</f>
        <v/>
      </c>
      <c r="E35" t="str">
        <f>""</f>
        <v/>
      </c>
      <c r="F35" s="1">
        <v>43190469</v>
      </c>
    </row>
    <row r="36" spans="1:6" x14ac:dyDescent="0.25">
      <c r="A36" t="str">
        <f>"1654"</f>
        <v>1654</v>
      </c>
      <c r="B36" t="str">
        <f>"Прочие основные средства"</f>
        <v>Прочие основные средства</v>
      </c>
      <c r="C36" t="str">
        <f>""</f>
        <v/>
      </c>
      <c r="D36" t="str">
        <f>""</f>
        <v/>
      </c>
      <c r="E36" t="str">
        <f>""</f>
        <v/>
      </c>
      <c r="F36" s="1">
        <v>87645123</v>
      </c>
    </row>
    <row r="37" spans="1:6" x14ac:dyDescent="0.25">
      <c r="A37" t="str">
        <f>"1655"</f>
        <v>1655</v>
      </c>
      <c r="B37" t="str">
        <f>"Активы в форме права пользования"</f>
        <v>Активы в форме права пользования</v>
      </c>
      <c r="C37" t="str">
        <f>""</f>
        <v/>
      </c>
      <c r="D37" t="str">
        <f>""</f>
        <v/>
      </c>
      <c r="E37" t="str">
        <f>""</f>
        <v/>
      </c>
      <c r="F37" s="1">
        <v>391564905.32999998</v>
      </c>
    </row>
    <row r="38" spans="1:6" x14ac:dyDescent="0.25">
      <c r="A38" t="str">
        <f>"1658"</f>
        <v>1658</v>
      </c>
      <c r="B38" t="str">
        <f>"Транспортные средства"</f>
        <v>Транспортные средства</v>
      </c>
      <c r="C38" t="str">
        <f>""</f>
        <v/>
      </c>
      <c r="D38" t="str">
        <f>""</f>
        <v/>
      </c>
      <c r="E38" t="str">
        <f>""</f>
        <v/>
      </c>
      <c r="F38" s="1">
        <v>15940000</v>
      </c>
    </row>
    <row r="39" spans="1:6" x14ac:dyDescent="0.25">
      <c r="A39" t="str">
        <f>"1659"</f>
        <v>1659</v>
      </c>
      <c r="B39" t="str">
        <f>"Нематериальные активы"</f>
        <v>Нематериальные активы</v>
      </c>
      <c r="C39" t="str">
        <f>""</f>
        <v/>
      </c>
      <c r="D39" t="str">
        <f>""</f>
        <v/>
      </c>
      <c r="E39" t="str">
        <f>""</f>
        <v/>
      </c>
      <c r="F39" s="1">
        <v>439092499.87</v>
      </c>
    </row>
    <row r="40" spans="1:6" x14ac:dyDescent="0.25">
      <c r="A40" t="str">
        <f>"1692"</f>
        <v>1692</v>
      </c>
      <c r="B40" t="str">
        <f>"Начисленная амортизация по зданиям и сооружениям"</f>
        <v>Начисленная амортизация по зданиям и сооружениям</v>
      </c>
      <c r="C40" t="str">
        <f>""</f>
        <v/>
      </c>
      <c r="D40" t="str">
        <f>""</f>
        <v/>
      </c>
      <c r="E40" t="str">
        <f>""</f>
        <v/>
      </c>
      <c r="F40" s="1">
        <v>-701248.39</v>
      </c>
    </row>
    <row r="41" spans="1:6" x14ac:dyDescent="0.25">
      <c r="A41" t="str">
        <f>"1693"</f>
        <v>1693</v>
      </c>
      <c r="B41" t="str">
        <f>"Начисленная амортизация по компьютерному оборудованию"</f>
        <v>Начисленная амортизация по компьютерному оборудованию</v>
      </c>
      <c r="C41" t="str">
        <f>""</f>
        <v/>
      </c>
      <c r="D41" t="str">
        <f>""</f>
        <v/>
      </c>
      <c r="E41" t="str">
        <f>""</f>
        <v/>
      </c>
      <c r="F41" s="1">
        <v>-21266905.359999999</v>
      </c>
    </row>
    <row r="42" spans="1:6" x14ac:dyDescent="0.25">
      <c r="A42" t="str">
        <f>"1694"</f>
        <v>1694</v>
      </c>
      <c r="B42" t="str">
        <f>"Начисленная амортизация по прочим основным средствам"</f>
        <v>Начисленная амортизация по прочим основным средствам</v>
      </c>
      <c r="C42" t="str">
        <f>""</f>
        <v/>
      </c>
      <c r="D42" t="str">
        <f>""</f>
        <v/>
      </c>
      <c r="E42" t="str">
        <f>""</f>
        <v/>
      </c>
      <c r="F42" s="1">
        <v>-53127361.780000001</v>
      </c>
    </row>
    <row r="43" spans="1:6" x14ac:dyDescent="0.25">
      <c r="A43" t="str">
        <f>"1695"</f>
        <v>1695</v>
      </c>
      <c r="B4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3" t="str">
        <f>""</f>
        <v/>
      </c>
      <c r="D43" t="str">
        <f>""</f>
        <v/>
      </c>
      <c r="E43" t="str">
        <f>""</f>
        <v/>
      </c>
      <c r="F43" s="1">
        <v>-153145271.66999999</v>
      </c>
    </row>
    <row r="44" spans="1:6" x14ac:dyDescent="0.25">
      <c r="A44" t="str">
        <f>"1698"</f>
        <v>1698</v>
      </c>
      <c r="B44" t="str">
        <f>"Начисленная амортизация по транспортным средствам"</f>
        <v>Начисленная амортизация по транспортным средствам</v>
      </c>
      <c r="C44" t="str">
        <f>""</f>
        <v/>
      </c>
      <c r="D44" t="str">
        <f>""</f>
        <v/>
      </c>
      <c r="E44" t="str">
        <f>""</f>
        <v/>
      </c>
      <c r="F44" s="1">
        <v>-5313333.4000000004</v>
      </c>
    </row>
    <row r="45" spans="1:6" x14ac:dyDescent="0.25">
      <c r="A45" t="str">
        <f>"1699"</f>
        <v>1699</v>
      </c>
      <c r="B45" t="str">
        <f>"Начисленная амортизация по нематериальным активам"</f>
        <v>Начисленная амортизация по нематериальным активам</v>
      </c>
      <c r="C45" t="str">
        <f>""</f>
        <v/>
      </c>
      <c r="D45" t="str">
        <f>""</f>
        <v/>
      </c>
      <c r="E45" t="str">
        <f>""</f>
        <v/>
      </c>
      <c r="F45" s="1">
        <v>-230007960.91</v>
      </c>
    </row>
    <row r="46" spans="1:6" x14ac:dyDescent="0.25">
      <c r="A46" t="str">
        <f>"1705"</f>
        <v>1705</v>
      </c>
      <c r="B46" t="str">
        <f>"Начисленные доходы по корреспондентским счетам"</f>
        <v>Начисленные доходы по корреспондентским счетам</v>
      </c>
      <c r="C46" t="str">
        <f>"2"</f>
        <v>2</v>
      </c>
      <c r="D46" t="str">
        <f>"4"</f>
        <v>4</v>
      </c>
      <c r="E46" t="str">
        <f>"3"</f>
        <v>3</v>
      </c>
      <c r="F46" s="1">
        <v>888.18</v>
      </c>
    </row>
    <row r="47" spans="1:6" x14ac:dyDescent="0.25">
      <c r="A47" t="str">
        <f>"1710"</f>
        <v>1710</v>
      </c>
      <c r="B4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7" t="str">
        <f t="shared" ref="C47:C52" si="3">"1"</f>
        <v>1</v>
      </c>
      <c r="D47" t="str">
        <f>"3"</f>
        <v>3</v>
      </c>
      <c r="E47" t="str">
        <f t="shared" ref="E47:E52" si="4">"1"</f>
        <v>1</v>
      </c>
      <c r="F47" s="1">
        <v>2950000</v>
      </c>
    </row>
    <row r="48" spans="1:6" x14ac:dyDescent="0.25">
      <c r="A48" t="str">
        <f>"1729"</f>
        <v>1729</v>
      </c>
      <c r="B48" t="str">
        <f>"Начисленные доходы по операциям с инвестиционными депозитами"</f>
        <v>Начисленные доходы по операциям с инвестиционными депозитами</v>
      </c>
      <c r="C48" t="str">
        <f t="shared" si="3"/>
        <v>1</v>
      </c>
      <c r="D48" t="str">
        <f>"7"</f>
        <v>7</v>
      </c>
      <c r="E48" t="str">
        <f t="shared" si="4"/>
        <v>1</v>
      </c>
      <c r="F48" s="1">
        <v>139576644.34999999</v>
      </c>
    </row>
    <row r="49" spans="1:6" x14ac:dyDescent="0.25">
      <c r="A49" t="str">
        <f>"1793"</f>
        <v>1793</v>
      </c>
      <c r="B49" t="str">
        <f>"Расходы будущих периодов"</f>
        <v>Расходы будущих периодов</v>
      </c>
      <c r="C49" t="str">
        <f t="shared" si="3"/>
        <v>1</v>
      </c>
      <c r="D49" t="str">
        <f>"5"</f>
        <v>5</v>
      </c>
      <c r="E49" t="str">
        <f t="shared" si="4"/>
        <v>1</v>
      </c>
      <c r="F49" s="1">
        <v>282202.83</v>
      </c>
    </row>
    <row r="50" spans="1:6" x14ac:dyDescent="0.25">
      <c r="A50" t="str">
        <f>"1793"</f>
        <v>1793</v>
      </c>
      <c r="B50" t="str">
        <f>"Расходы будущих периодов"</f>
        <v>Расходы будущих периодов</v>
      </c>
      <c r="C50" t="str">
        <f t="shared" si="3"/>
        <v>1</v>
      </c>
      <c r="D50" t="str">
        <f>"7"</f>
        <v>7</v>
      </c>
      <c r="E50" t="str">
        <f t="shared" si="4"/>
        <v>1</v>
      </c>
      <c r="F50" s="1">
        <v>13712664.76</v>
      </c>
    </row>
    <row r="51" spans="1:6" x14ac:dyDescent="0.25">
      <c r="A51" t="str">
        <f>"1799"</f>
        <v>1799</v>
      </c>
      <c r="B51" t="str">
        <f>"Прочие предоплаты"</f>
        <v>Прочие предоплаты</v>
      </c>
      <c r="C51" t="str">
        <f t="shared" si="3"/>
        <v>1</v>
      </c>
      <c r="D51" t="str">
        <f>"6"</f>
        <v>6</v>
      </c>
      <c r="E51" t="str">
        <f t="shared" si="4"/>
        <v>1</v>
      </c>
      <c r="F51" s="1">
        <v>3240</v>
      </c>
    </row>
    <row r="52" spans="1:6" x14ac:dyDescent="0.25">
      <c r="A52" t="str">
        <f>"1799"</f>
        <v>1799</v>
      </c>
      <c r="B52" t="str">
        <f>"Прочие предоплаты"</f>
        <v>Прочие предоплаты</v>
      </c>
      <c r="C52" t="str">
        <f t="shared" si="3"/>
        <v>1</v>
      </c>
      <c r="D52" t="str">
        <f>"7"</f>
        <v>7</v>
      </c>
      <c r="E52" t="str">
        <f t="shared" si="4"/>
        <v>1</v>
      </c>
      <c r="F52" s="1">
        <v>16016930</v>
      </c>
    </row>
    <row r="53" spans="1:6" x14ac:dyDescent="0.25">
      <c r="A53" t="str">
        <f>"1799"</f>
        <v>1799</v>
      </c>
      <c r="B53" t="str">
        <f>"Прочие предоплаты"</f>
        <v>Прочие предоплаты</v>
      </c>
      <c r="C53" t="str">
        <f>"2"</f>
        <v>2</v>
      </c>
      <c r="D53" t="str">
        <f>"7"</f>
        <v>7</v>
      </c>
      <c r="E53" t="str">
        <f>"2"</f>
        <v>2</v>
      </c>
      <c r="F53" s="1">
        <v>80201786.5</v>
      </c>
    </row>
    <row r="54" spans="1:6" x14ac:dyDescent="0.25">
      <c r="A54" t="str">
        <f>"1799"</f>
        <v>1799</v>
      </c>
      <c r="B54" t="str">
        <f>"Прочие предоплаты"</f>
        <v>Прочие предоплаты</v>
      </c>
      <c r="C54" t="str">
        <f>"1"</f>
        <v>1</v>
      </c>
      <c r="D54" t="str">
        <f>"9"</f>
        <v>9</v>
      </c>
      <c r="E54" t="str">
        <f t="shared" ref="E54:E68" si="5">"1"</f>
        <v>1</v>
      </c>
      <c r="F54" s="1">
        <v>15000</v>
      </c>
    </row>
    <row r="55" spans="1:6" x14ac:dyDescent="0.25">
      <c r="A55" t="str">
        <f>"1799"</f>
        <v>1799</v>
      </c>
      <c r="B55" t="str">
        <f>"Прочие предоплаты"</f>
        <v>Прочие предоплаты</v>
      </c>
      <c r="C55" t="str">
        <f>"1"</f>
        <v>1</v>
      </c>
      <c r="D55" t="str">
        <f>"5"</f>
        <v>5</v>
      </c>
      <c r="E55" t="str">
        <f t="shared" si="5"/>
        <v>1</v>
      </c>
      <c r="F55" s="1">
        <v>72630</v>
      </c>
    </row>
    <row r="56" spans="1:6" x14ac:dyDescent="0.25">
      <c r="A56" t="str">
        <f>"1811"</f>
        <v>1811</v>
      </c>
      <c r="B56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56" t="str">
        <f>"1"</f>
        <v>1</v>
      </c>
      <c r="D56" t="str">
        <f>""</f>
        <v/>
      </c>
      <c r="E56" t="str">
        <f t="shared" si="5"/>
        <v>1</v>
      </c>
      <c r="F56" s="1">
        <v>23289</v>
      </c>
    </row>
    <row r="57" spans="1:6" x14ac:dyDescent="0.25">
      <c r="A57" t="str">
        <f>"1817"</f>
        <v>1817</v>
      </c>
      <c r="B5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57" t="str">
        <f>"1"</f>
        <v>1</v>
      </c>
      <c r="D57" t="str">
        <f>""</f>
        <v/>
      </c>
      <c r="E57" t="str">
        <f t="shared" si="5"/>
        <v>1</v>
      </c>
      <c r="F57" s="1">
        <v>112367.05</v>
      </c>
    </row>
    <row r="58" spans="1:6" x14ac:dyDescent="0.25">
      <c r="A58" t="str">
        <f>"1817"</f>
        <v>1817</v>
      </c>
      <c r="B5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58" t="str">
        <f>"2"</f>
        <v>2</v>
      </c>
      <c r="D58" t="str">
        <f>""</f>
        <v/>
      </c>
      <c r="E58" t="str">
        <f t="shared" si="5"/>
        <v>1</v>
      </c>
      <c r="F58" s="1">
        <v>3500</v>
      </c>
    </row>
    <row r="59" spans="1:6" x14ac:dyDescent="0.25">
      <c r="A59" t="str">
        <f>"1818"</f>
        <v>1818</v>
      </c>
      <c r="B59" t="str">
        <f>"Начисленные прочие комиссионные доходы"</f>
        <v>Начисленные прочие комиссионные доходы</v>
      </c>
      <c r="C59" t="str">
        <f>"1"</f>
        <v>1</v>
      </c>
      <c r="D59" t="str">
        <f>""</f>
        <v/>
      </c>
      <c r="E59" t="str">
        <f t="shared" si="5"/>
        <v>1</v>
      </c>
      <c r="F59" s="1">
        <v>22000</v>
      </c>
    </row>
    <row r="60" spans="1:6" x14ac:dyDescent="0.25">
      <c r="A60" t="str">
        <f>"1831"</f>
        <v>1831</v>
      </c>
      <c r="B6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60" t="str">
        <f>"1"</f>
        <v>1</v>
      </c>
      <c r="D60" t="str">
        <f>""</f>
        <v/>
      </c>
      <c r="E60" t="str">
        <f t="shared" si="5"/>
        <v>1</v>
      </c>
      <c r="F60" s="1">
        <v>420168.01</v>
      </c>
    </row>
    <row r="61" spans="1:6" x14ac:dyDescent="0.25">
      <c r="A61" t="str">
        <f>"1836"</f>
        <v>1836</v>
      </c>
      <c r="B6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61" t="str">
        <f>"1"</f>
        <v>1</v>
      </c>
      <c r="D61" t="str">
        <f>""</f>
        <v/>
      </c>
      <c r="E61" t="str">
        <f t="shared" si="5"/>
        <v>1</v>
      </c>
      <c r="F61" s="1">
        <v>14224391.6</v>
      </c>
    </row>
    <row r="62" spans="1:6" x14ac:dyDescent="0.25">
      <c r="A62" t="str">
        <f>"1837"</f>
        <v>1837</v>
      </c>
      <c r="B6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62" t="str">
        <f>"1"</f>
        <v>1</v>
      </c>
      <c r="D62" t="str">
        <f>""</f>
        <v/>
      </c>
      <c r="E62" t="str">
        <f t="shared" si="5"/>
        <v>1</v>
      </c>
      <c r="F62" s="1">
        <v>1557860.47</v>
      </c>
    </row>
    <row r="63" spans="1:6" x14ac:dyDescent="0.25">
      <c r="A63" t="str">
        <f>"1837"</f>
        <v>1837</v>
      </c>
      <c r="B6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63" t="str">
        <f>"2"</f>
        <v>2</v>
      </c>
      <c r="D63" t="str">
        <f>""</f>
        <v/>
      </c>
      <c r="E63" t="str">
        <f t="shared" si="5"/>
        <v>1</v>
      </c>
      <c r="F63" s="1">
        <v>28756</v>
      </c>
    </row>
    <row r="64" spans="1:6" x14ac:dyDescent="0.25">
      <c r="A64" t="str">
        <f>"1838"</f>
        <v>1838</v>
      </c>
      <c r="B64" t="str">
        <f>"Просроченные прочие комиссионные доходы"</f>
        <v>Просроченные прочие комиссионные доходы</v>
      </c>
      <c r="C64" t="str">
        <f>"2"</f>
        <v>2</v>
      </c>
      <c r="D64" t="str">
        <f>""</f>
        <v/>
      </c>
      <c r="E64" t="str">
        <f t="shared" si="5"/>
        <v>1</v>
      </c>
      <c r="F64" s="1">
        <v>90116.3</v>
      </c>
    </row>
    <row r="65" spans="1:6" x14ac:dyDescent="0.25">
      <c r="A65" t="str">
        <f>"1838"</f>
        <v>1838</v>
      </c>
      <c r="B65" t="str">
        <f>"Просроченные прочие комиссионные доходы"</f>
        <v>Просроченные прочие комиссионные доходы</v>
      </c>
      <c r="C65" t="str">
        <f>"1"</f>
        <v>1</v>
      </c>
      <c r="D65" t="str">
        <f>""</f>
        <v/>
      </c>
      <c r="E65" t="str">
        <f t="shared" si="5"/>
        <v>1</v>
      </c>
      <c r="F65" s="1">
        <v>4086468.49</v>
      </c>
    </row>
    <row r="66" spans="1:6" x14ac:dyDescent="0.25">
      <c r="A66" t="str">
        <f>"1841"</f>
        <v>1841</v>
      </c>
      <c r="B66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66" t="str">
        <f>"1"</f>
        <v>1</v>
      </c>
      <c r="D66" t="str">
        <f>""</f>
        <v/>
      </c>
      <c r="E66" t="str">
        <f t="shared" si="5"/>
        <v>1</v>
      </c>
      <c r="F66" s="1">
        <v>451365.28</v>
      </c>
    </row>
    <row r="67" spans="1:6" x14ac:dyDescent="0.25">
      <c r="A67" t="str">
        <f>"1842"</f>
        <v>1842</v>
      </c>
      <c r="B67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C67" t="str">
        <f>"1"</f>
        <v>1</v>
      </c>
      <c r="D67" t="str">
        <f>""</f>
        <v/>
      </c>
      <c r="E67" t="str">
        <f t="shared" si="5"/>
        <v>1</v>
      </c>
      <c r="F67" s="1">
        <v>90000</v>
      </c>
    </row>
    <row r="68" spans="1:6" x14ac:dyDescent="0.25">
      <c r="A68" t="str">
        <f>"1851"</f>
        <v>1851</v>
      </c>
      <c r="B6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68" t="str">
        <f>"1"</f>
        <v>1</v>
      </c>
      <c r="D68" t="str">
        <f>"1"</f>
        <v>1</v>
      </c>
      <c r="E68" t="str">
        <f t="shared" si="5"/>
        <v>1</v>
      </c>
      <c r="F68" s="1">
        <v>75030830.640000001</v>
      </c>
    </row>
    <row r="69" spans="1:6" x14ac:dyDescent="0.25">
      <c r="A69" t="str">
        <f>"1854"</f>
        <v>1854</v>
      </c>
      <c r="B69" t="str">
        <f>"Расчеты с работниками"</f>
        <v>Расчеты с работниками</v>
      </c>
      <c r="C69" t="str">
        <f>""</f>
        <v/>
      </c>
      <c r="D69" t="str">
        <f>""</f>
        <v/>
      </c>
      <c r="E69" t="str">
        <f>""</f>
        <v/>
      </c>
      <c r="F69" s="1">
        <v>83201.06</v>
      </c>
    </row>
    <row r="70" spans="1:6" x14ac:dyDescent="0.25">
      <c r="A70" t="str">
        <f>"1857"</f>
        <v>1857</v>
      </c>
      <c r="B70" t="str">
        <f>"Отложенные налоговые активы"</f>
        <v>Отложенные налоговые активы</v>
      </c>
      <c r="C70" t="str">
        <f>""</f>
        <v/>
      </c>
      <c r="D70" t="str">
        <f>""</f>
        <v/>
      </c>
      <c r="E70" t="str">
        <f>""</f>
        <v/>
      </c>
      <c r="F70" s="1">
        <v>12229901</v>
      </c>
    </row>
    <row r="71" spans="1:6" x14ac:dyDescent="0.25">
      <c r="A71" t="str">
        <f t="shared" ref="A71:A76" si="6">"1860"</f>
        <v>1860</v>
      </c>
      <c r="B71" t="str">
        <f t="shared" ref="B71:B76" si="7">"Прочие дебиторы по банковской деятельности"</f>
        <v>Прочие дебиторы по банковской деятельности</v>
      </c>
      <c r="C71" t="str">
        <f t="shared" ref="C71:C81" si="8">"1"</f>
        <v>1</v>
      </c>
      <c r="D71" t="str">
        <f>"5"</f>
        <v>5</v>
      </c>
      <c r="E71" t="str">
        <f>"3"</f>
        <v>3</v>
      </c>
      <c r="F71" s="1">
        <v>1861268305.1600001</v>
      </c>
    </row>
    <row r="72" spans="1:6" x14ac:dyDescent="0.25">
      <c r="A72" t="str">
        <f t="shared" si="6"/>
        <v>1860</v>
      </c>
      <c r="B72" t="str">
        <f t="shared" si="7"/>
        <v>Прочие дебиторы по банковской деятельности</v>
      </c>
      <c r="C72" t="str">
        <f t="shared" si="8"/>
        <v>1</v>
      </c>
      <c r="D72" t="str">
        <f>"7"</f>
        <v>7</v>
      </c>
      <c r="E72" t="str">
        <f>"1"</f>
        <v>1</v>
      </c>
      <c r="F72" s="1">
        <v>113607539.98999999</v>
      </c>
    </row>
    <row r="73" spans="1:6" x14ac:dyDescent="0.25">
      <c r="A73" t="str">
        <f t="shared" si="6"/>
        <v>1860</v>
      </c>
      <c r="B73" t="str">
        <f t="shared" si="7"/>
        <v>Прочие дебиторы по банковской деятельности</v>
      </c>
      <c r="C73" t="str">
        <f t="shared" si="8"/>
        <v>1</v>
      </c>
      <c r="D73" t="str">
        <f>"5"</f>
        <v>5</v>
      </c>
      <c r="E73" t="str">
        <f>"2"</f>
        <v>2</v>
      </c>
      <c r="F73" s="1">
        <v>769270758.14999998</v>
      </c>
    </row>
    <row r="74" spans="1:6" x14ac:dyDescent="0.25">
      <c r="A74" t="str">
        <f t="shared" si="6"/>
        <v>1860</v>
      </c>
      <c r="B74" t="str">
        <f t="shared" si="7"/>
        <v>Прочие дебиторы по банковской деятельности</v>
      </c>
      <c r="C74" t="str">
        <f t="shared" si="8"/>
        <v>1</v>
      </c>
      <c r="D74" t="str">
        <f>"9"</f>
        <v>9</v>
      </c>
      <c r="E74" t="str">
        <f t="shared" ref="E74:E81" si="9">"1"</f>
        <v>1</v>
      </c>
      <c r="F74" s="1">
        <v>14933210.24</v>
      </c>
    </row>
    <row r="75" spans="1:6" x14ac:dyDescent="0.25">
      <c r="A75" t="str">
        <f t="shared" si="6"/>
        <v>1860</v>
      </c>
      <c r="B75" t="str">
        <f t="shared" si="7"/>
        <v>Прочие дебиторы по банковской деятельности</v>
      </c>
      <c r="C75" t="str">
        <f t="shared" si="8"/>
        <v>1</v>
      </c>
      <c r="D75" t="str">
        <f>"2"</f>
        <v>2</v>
      </c>
      <c r="E75" t="str">
        <f t="shared" si="9"/>
        <v>1</v>
      </c>
      <c r="F75" s="1">
        <v>700142</v>
      </c>
    </row>
    <row r="76" spans="1:6" x14ac:dyDescent="0.25">
      <c r="A76" t="str">
        <f t="shared" si="6"/>
        <v>1860</v>
      </c>
      <c r="B76" t="str">
        <f t="shared" si="7"/>
        <v>Прочие дебиторы по банковской деятельности</v>
      </c>
      <c r="C76" t="str">
        <f t="shared" si="8"/>
        <v>1</v>
      </c>
      <c r="D76" t="str">
        <f>"5"</f>
        <v>5</v>
      </c>
      <c r="E76" t="str">
        <f t="shared" si="9"/>
        <v>1</v>
      </c>
      <c r="F76" s="1">
        <v>1360957.53</v>
      </c>
    </row>
    <row r="77" spans="1:6" x14ac:dyDescent="0.25">
      <c r="A77" t="str">
        <f>"1861"</f>
        <v>1861</v>
      </c>
      <c r="B77" t="str">
        <f>"Дебиторы по гарантиям"</f>
        <v>Дебиторы по гарантиям</v>
      </c>
      <c r="C77" t="str">
        <f t="shared" si="8"/>
        <v>1</v>
      </c>
      <c r="D77" t="str">
        <f>"7"</f>
        <v>7</v>
      </c>
      <c r="E77" t="str">
        <f t="shared" si="9"/>
        <v>1</v>
      </c>
      <c r="F77" s="1">
        <v>386064692.04000002</v>
      </c>
    </row>
    <row r="78" spans="1:6" x14ac:dyDescent="0.25">
      <c r="A78" t="str">
        <f>"1867"</f>
        <v>1867</v>
      </c>
      <c r="B78" t="str">
        <f>"Прочие дебиторы по неосновной деятельности"</f>
        <v>Прочие дебиторы по неосновной деятельности</v>
      </c>
      <c r="C78" t="str">
        <f t="shared" si="8"/>
        <v>1</v>
      </c>
      <c r="D78" t="str">
        <f>"7"</f>
        <v>7</v>
      </c>
      <c r="E78" t="str">
        <f t="shared" si="9"/>
        <v>1</v>
      </c>
      <c r="F78" s="1">
        <v>957025.7</v>
      </c>
    </row>
    <row r="79" spans="1:6" x14ac:dyDescent="0.25">
      <c r="A79" t="str">
        <f>"1876"</f>
        <v>1876</v>
      </c>
      <c r="B79" t="str">
        <f>"Резервы (провизии) по прочей банковской деятельности"</f>
        <v>Резервы (провизии) по прочей банковской деятельности</v>
      </c>
      <c r="C79" t="str">
        <f t="shared" si="8"/>
        <v>1</v>
      </c>
      <c r="D79" t="str">
        <f>"7"</f>
        <v>7</v>
      </c>
      <c r="E79" t="str">
        <f t="shared" si="9"/>
        <v>1</v>
      </c>
      <c r="F79" s="1">
        <v>-1281318053</v>
      </c>
    </row>
    <row r="80" spans="1:6" x14ac:dyDescent="0.25">
      <c r="A80" t="str">
        <f>"1877"</f>
        <v>1877</v>
      </c>
      <c r="B8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80" t="str">
        <f t="shared" si="8"/>
        <v>1</v>
      </c>
      <c r="D80" t="str">
        <f>"7"</f>
        <v>7</v>
      </c>
      <c r="E80" t="str">
        <f t="shared" si="9"/>
        <v>1</v>
      </c>
      <c r="F80" s="1">
        <v>-212935657</v>
      </c>
    </row>
    <row r="81" spans="1:6" x14ac:dyDescent="0.25">
      <c r="A81" t="str">
        <f>"1877"</f>
        <v>1877</v>
      </c>
      <c r="B8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81" t="str">
        <f t="shared" si="8"/>
        <v>1</v>
      </c>
      <c r="D81" t="str">
        <f>"9"</f>
        <v>9</v>
      </c>
      <c r="E81" t="str">
        <f t="shared" si="9"/>
        <v>1</v>
      </c>
      <c r="F81" s="1">
        <v>-598822</v>
      </c>
    </row>
    <row r="82" spans="1:6" x14ac:dyDescent="0.25">
      <c r="A82" t="str">
        <f>"2013"</f>
        <v>2013</v>
      </c>
      <c r="B82" t="str">
        <f>"Корреспондентские счета других банков"</f>
        <v>Корреспондентские счета других банков</v>
      </c>
      <c r="C82" t="str">
        <f>"2"</f>
        <v>2</v>
      </c>
      <c r="D82" t="str">
        <f>"4"</f>
        <v>4</v>
      </c>
      <c r="E82" t="str">
        <f>"3"</f>
        <v>3</v>
      </c>
      <c r="F82" s="1">
        <v>561477.29</v>
      </c>
    </row>
    <row r="83" spans="1:6" x14ac:dyDescent="0.25">
      <c r="A83" t="str">
        <f>"2013"</f>
        <v>2013</v>
      </c>
      <c r="B83" t="str">
        <f>"Корреспондентские счета других банков"</f>
        <v>Корреспондентские счета других банков</v>
      </c>
      <c r="C83" t="str">
        <f>"2"</f>
        <v>2</v>
      </c>
      <c r="D83" t="str">
        <f>"4"</f>
        <v>4</v>
      </c>
      <c r="E83" t="str">
        <f>"1"</f>
        <v>1</v>
      </c>
      <c r="F83" s="1">
        <v>5188583.33</v>
      </c>
    </row>
    <row r="84" spans="1:6" x14ac:dyDescent="0.25">
      <c r="A84" t="str">
        <f>"2013"</f>
        <v>2013</v>
      </c>
      <c r="B84" t="str">
        <f>"Корреспондентские счета других банков"</f>
        <v>Корреспондентские счета других банков</v>
      </c>
      <c r="C84" t="str">
        <f>"2"</f>
        <v>2</v>
      </c>
      <c r="D84" t="str">
        <f>"4"</f>
        <v>4</v>
      </c>
      <c r="E84" t="str">
        <f>"2"</f>
        <v>2</v>
      </c>
      <c r="F84" s="1">
        <v>686010072.49000001</v>
      </c>
    </row>
    <row r="85" spans="1:6" x14ac:dyDescent="0.25">
      <c r="A85" t="str">
        <f>"2014"</f>
        <v>2014</v>
      </c>
      <c r="B8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85" t="str">
        <f>"2"</f>
        <v>2</v>
      </c>
      <c r="D85" t="str">
        <f>"5"</f>
        <v>5</v>
      </c>
      <c r="E85" t="str">
        <f>"1"</f>
        <v>1</v>
      </c>
      <c r="F85" s="1">
        <v>1.97</v>
      </c>
    </row>
    <row r="86" spans="1:6" x14ac:dyDescent="0.25">
      <c r="A86" t="str">
        <f>"2014"</f>
        <v>2014</v>
      </c>
      <c r="B8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86" t="str">
        <f>"2"</f>
        <v>2</v>
      </c>
      <c r="D86" t="str">
        <f>"5"</f>
        <v>5</v>
      </c>
      <c r="E86" t="str">
        <f>"2"</f>
        <v>2</v>
      </c>
      <c r="F86" s="1">
        <v>4295.59</v>
      </c>
    </row>
    <row r="87" spans="1:6" x14ac:dyDescent="0.25">
      <c r="A87" t="str">
        <f t="shared" ref="A87:A95" si="10">"2203"</f>
        <v>2203</v>
      </c>
      <c r="B87" t="str">
        <f t="shared" ref="B87:B95" si="11">"Текущие счета юридических лиц"</f>
        <v>Текущие счета юридических лиц</v>
      </c>
      <c r="C87" t="str">
        <f>"1"</f>
        <v>1</v>
      </c>
      <c r="D87" t="str">
        <f>"7"</f>
        <v>7</v>
      </c>
      <c r="E87" t="str">
        <f>"1"</f>
        <v>1</v>
      </c>
      <c r="F87" s="1">
        <v>3364769064.8400002</v>
      </c>
    </row>
    <row r="88" spans="1:6" x14ac:dyDescent="0.25">
      <c r="A88" t="str">
        <f t="shared" si="10"/>
        <v>2203</v>
      </c>
      <c r="B88" t="str">
        <f t="shared" si="11"/>
        <v>Текущие счета юридических лиц</v>
      </c>
      <c r="C88" t="str">
        <f>"1"</f>
        <v>1</v>
      </c>
      <c r="D88" t="str">
        <f>"7"</f>
        <v>7</v>
      </c>
      <c r="E88" t="str">
        <f>"3"</f>
        <v>3</v>
      </c>
      <c r="F88" s="1">
        <v>1864459.29</v>
      </c>
    </row>
    <row r="89" spans="1:6" x14ac:dyDescent="0.25">
      <c r="A89" t="str">
        <f t="shared" si="10"/>
        <v>2203</v>
      </c>
      <c r="B89" t="str">
        <f t="shared" si="11"/>
        <v>Текущие счета юридических лиц</v>
      </c>
      <c r="C89" t="str">
        <f>"2"</f>
        <v>2</v>
      </c>
      <c r="D89" t="str">
        <f>"5"</f>
        <v>5</v>
      </c>
      <c r="E89" t="str">
        <f>"2"</f>
        <v>2</v>
      </c>
      <c r="F89" s="1">
        <v>55648.19</v>
      </c>
    </row>
    <row r="90" spans="1:6" x14ac:dyDescent="0.25">
      <c r="A90" t="str">
        <f t="shared" si="10"/>
        <v>2203</v>
      </c>
      <c r="B90" t="str">
        <f t="shared" si="11"/>
        <v>Текущие счета юридических лиц</v>
      </c>
      <c r="C90" t="str">
        <f>"1"</f>
        <v>1</v>
      </c>
      <c r="D90" t="str">
        <f>"8"</f>
        <v>8</v>
      </c>
      <c r="E90" t="str">
        <f>"1"</f>
        <v>1</v>
      </c>
      <c r="F90" s="1">
        <v>4009379.33</v>
      </c>
    </row>
    <row r="91" spans="1:6" x14ac:dyDescent="0.25">
      <c r="A91" t="str">
        <f t="shared" si="10"/>
        <v>2203</v>
      </c>
      <c r="B91" t="str">
        <f t="shared" si="11"/>
        <v>Текущие счета юридических лиц</v>
      </c>
      <c r="C91" t="str">
        <f>"2"</f>
        <v>2</v>
      </c>
      <c r="D91" t="str">
        <f>"7"</f>
        <v>7</v>
      </c>
      <c r="E91" t="str">
        <f>"2"</f>
        <v>2</v>
      </c>
      <c r="F91" s="1">
        <v>34645166.939999998</v>
      </c>
    </row>
    <row r="92" spans="1:6" x14ac:dyDescent="0.25">
      <c r="A92" t="str">
        <f t="shared" si="10"/>
        <v>2203</v>
      </c>
      <c r="B92" t="str">
        <f t="shared" si="11"/>
        <v>Текущие счета юридических лиц</v>
      </c>
      <c r="C92" t="str">
        <f>"1"</f>
        <v>1</v>
      </c>
      <c r="D92" t="str">
        <f>"7"</f>
        <v>7</v>
      </c>
      <c r="E92" t="str">
        <f>"2"</f>
        <v>2</v>
      </c>
      <c r="F92" s="1">
        <v>56566625.850000001</v>
      </c>
    </row>
    <row r="93" spans="1:6" x14ac:dyDescent="0.25">
      <c r="A93" t="str">
        <f t="shared" si="10"/>
        <v>2203</v>
      </c>
      <c r="B93" t="str">
        <f t="shared" si="11"/>
        <v>Текущие счета юридических лиц</v>
      </c>
      <c r="C93" t="str">
        <f>"2"</f>
        <v>2</v>
      </c>
      <c r="D93" t="str">
        <f>"7"</f>
        <v>7</v>
      </c>
      <c r="E93" t="str">
        <f>"1"</f>
        <v>1</v>
      </c>
      <c r="F93" s="1">
        <v>252892.81</v>
      </c>
    </row>
    <row r="94" spans="1:6" x14ac:dyDescent="0.25">
      <c r="A94" t="str">
        <f t="shared" si="10"/>
        <v>2203</v>
      </c>
      <c r="B94" t="str">
        <f t="shared" si="11"/>
        <v>Текущие счета юридических лиц</v>
      </c>
      <c r="C94" t="str">
        <f>"2"</f>
        <v>2</v>
      </c>
      <c r="D94" t="str">
        <f>"7"</f>
        <v>7</v>
      </c>
      <c r="E94" t="str">
        <f>"3"</f>
        <v>3</v>
      </c>
      <c r="F94" s="1">
        <v>29299817.629999999</v>
      </c>
    </row>
    <row r="95" spans="1:6" x14ac:dyDescent="0.25">
      <c r="A95" t="str">
        <f t="shared" si="10"/>
        <v>2203</v>
      </c>
      <c r="B95" t="str">
        <f t="shared" si="11"/>
        <v>Текущие счета юридических лиц</v>
      </c>
      <c r="C95" t="str">
        <f>"1"</f>
        <v>1</v>
      </c>
      <c r="D95" t="str">
        <f>"6"</f>
        <v>6</v>
      </c>
      <c r="E95" t="str">
        <f>"1"</f>
        <v>1</v>
      </c>
      <c r="F95" s="1">
        <v>22214640.149999999</v>
      </c>
    </row>
    <row r="96" spans="1:6" x14ac:dyDescent="0.25">
      <c r="A96" t="str">
        <f t="shared" ref="A96:A101" si="12">"2204"</f>
        <v>2204</v>
      </c>
      <c r="B96" t="str">
        <f t="shared" ref="B96:B101" si="13">"Текущие счета физических лиц"</f>
        <v>Текущие счета физических лиц</v>
      </c>
      <c r="C96" t="str">
        <f>"1"</f>
        <v>1</v>
      </c>
      <c r="D96" t="str">
        <f t="shared" ref="D96:D101" si="14">"9"</f>
        <v>9</v>
      </c>
      <c r="E96" t="str">
        <f>"1"</f>
        <v>1</v>
      </c>
      <c r="F96" s="1">
        <v>126609613.73999999</v>
      </c>
    </row>
    <row r="97" spans="1:6" x14ac:dyDescent="0.25">
      <c r="A97" t="str">
        <f t="shared" si="12"/>
        <v>2204</v>
      </c>
      <c r="B97" t="str">
        <f t="shared" si="13"/>
        <v>Текущие счета физических лиц</v>
      </c>
      <c r="C97" t="str">
        <f>"1"</f>
        <v>1</v>
      </c>
      <c r="D97" t="str">
        <f t="shared" si="14"/>
        <v>9</v>
      </c>
      <c r="E97" t="str">
        <f>"3"</f>
        <v>3</v>
      </c>
      <c r="F97" s="1">
        <v>34828.47</v>
      </c>
    </row>
    <row r="98" spans="1:6" x14ac:dyDescent="0.25">
      <c r="A98" t="str">
        <f t="shared" si="12"/>
        <v>2204</v>
      </c>
      <c r="B98" t="str">
        <f t="shared" si="13"/>
        <v>Текущие счета физических лиц</v>
      </c>
      <c r="C98" t="str">
        <f>"1"</f>
        <v>1</v>
      </c>
      <c r="D98" t="str">
        <f t="shared" si="14"/>
        <v>9</v>
      </c>
      <c r="E98" t="str">
        <f>"2"</f>
        <v>2</v>
      </c>
      <c r="F98" s="1">
        <v>298258.61</v>
      </c>
    </row>
    <row r="99" spans="1:6" x14ac:dyDescent="0.25">
      <c r="A99" t="str">
        <f t="shared" si="12"/>
        <v>2204</v>
      </c>
      <c r="B99" t="str">
        <f t="shared" si="13"/>
        <v>Текущие счета физических лиц</v>
      </c>
      <c r="C99" t="str">
        <f>"2"</f>
        <v>2</v>
      </c>
      <c r="D99" t="str">
        <f t="shared" si="14"/>
        <v>9</v>
      </c>
      <c r="E99" t="str">
        <f>"2"</f>
        <v>2</v>
      </c>
      <c r="F99" s="1">
        <v>200.01</v>
      </c>
    </row>
    <row r="100" spans="1:6" x14ac:dyDescent="0.25">
      <c r="A100" t="str">
        <f t="shared" si="12"/>
        <v>2204</v>
      </c>
      <c r="B100" t="str">
        <f t="shared" si="13"/>
        <v>Текущие счета физических лиц</v>
      </c>
      <c r="C100" t="str">
        <f>"2"</f>
        <v>2</v>
      </c>
      <c r="D100" t="str">
        <f t="shared" si="14"/>
        <v>9</v>
      </c>
      <c r="E100" t="str">
        <f>"1"</f>
        <v>1</v>
      </c>
      <c r="F100" s="1">
        <v>2126769.8199999998</v>
      </c>
    </row>
    <row r="101" spans="1:6" x14ac:dyDescent="0.25">
      <c r="A101" t="str">
        <f t="shared" si="12"/>
        <v>2204</v>
      </c>
      <c r="B101" t="str">
        <f t="shared" si="13"/>
        <v>Текущие счета физических лиц</v>
      </c>
      <c r="C101" t="str">
        <f>"2"</f>
        <v>2</v>
      </c>
      <c r="D101" t="str">
        <f t="shared" si="14"/>
        <v>9</v>
      </c>
      <c r="E101" t="str">
        <f>"3"</f>
        <v>3</v>
      </c>
      <c r="F101" s="1">
        <v>233.52</v>
      </c>
    </row>
    <row r="102" spans="1:6" x14ac:dyDescent="0.25">
      <c r="A102" t="str">
        <f>"2219"</f>
        <v>2219</v>
      </c>
      <c r="B102" t="str">
        <f>"Условные вклады юридических лиц"</f>
        <v>Условные вклады юридических лиц</v>
      </c>
      <c r="C102" t="str">
        <f t="shared" ref="C102:C113" si="15">"1"</f>
        <v>1</v>
      </c>
      <c r="D102" t="str">
        <f>"7"</f>
        <v>7</v>
      </c>
      <c r="E102" t="str">
        <f>"1"</f>
        <v>1</v>
      </c>
      <c r="F102" s="1">
        <v>1581696</v>
      </c>
    </row>
    <row r="103" spans="1:6" x14ac:dyDescent="0.25">
      <c r="A103" t="str">
        <f>"2227"</f>
        <v>2227</v>
      </c>
      <c r="B103" t="str">
        <f>"Обязательства по аренде"</f>
        <v>Обязательства по аренде</v>
      </c>
      <c r="C103" t="str">
        <f t="shared" si="15"/>
        <v>1</v>
      </c>
      <c r="D103" t="str">
        <f>"4"</f>
        <v>4</v>
      </c>
      <c r="E103" t="str">
        <f>"1"</f>
        <v>1</v>
      </c>
      <c r="F103" s="1">
        <v>253641655.75</v>
      </c>
    </row>
    <row r="104" spans="1:6" x14ac:dyDescent="0.25">
      <c r="A104" t="str">
        <f>"2237"</f>
        <v>2237</v>
      </c>
      <c r="B10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104" t="str">
        <f t="shared" si="15"/>
        <v>1</v>
      </c>
      <c r="D104" t="str">
        <f>"7"</f>
        <v>7</v>
      </c>
      <c r="E104" t="str">
        <f>"3"</f>
        <v>3</v>
      </c>
      <c r="F104" s="1">
        <v>6339800.5</v>
      </c>
    </row>
    <row r="105" spans="1:6" x14ac:dyDescent="0.25">
      <c r="A105" t="str">
        <f>"2240"</f>
        <v>2240</v>
      </c>
      <c r="B10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105" t="str">
        <f t="shared" si="15"/>
        <v>1</v>
      </c>
      <c r="D105" t="str">
        <f>"7"</f>
        <v>7</v>
      </c>
      <c r="E105" t="str">
        <f>"1"</f>
        <v>1</v>
      </c>
      <c r="F105" s="1">
        <v>2656135753.6900001</v>
      </c>
    </row>
    <row r="106" spans="1:6" x14ac:dyDescent="0.25">
      <c r="A106" t="str">
        <f>"2245"</f>
        <v>2245</v>
      </c>
      <c r="B106" t="str">
        <f>"Инвестиционные депозиты"</f>
        <v>Инвестиционные депозиты</v>
      </c>
      <c r="C106" t="str">
        <f t="shared" si="15"/>
        <v>1</v>
      </c>
      <c r="D106" t="str">
        <f>"7"</f>
        <v>7</v>
      </c>
      <c r="E106" t="str">
        <f>"1"</f>
        <v>1</v>
      </c>
      <c r="F106" s="1">
        <v>68868222.349999994</v>
      </c>
    </row>
    <row r="107" spans="1:6" x14ac:dyDescent="0.25">
      <c r="A107" t="str">
        <f>"2245"</f>
        <v>2245</v>
      </c>
      <c r="B107" t="str">
        <f>"Инвестиционные депозиты"</f>
        <v>Инвестиционные депозиты</v>
      </c>
      <c r="C107" t="str">
        <f t="shared" si="15"/>
        <v>1</v>
      </c>
      <c r="D107" t="str">
        <f>"7"</f>
        <v>7</v>
      </c>
      <c r="E107" t="str">
        <f>"2"</f>
        <v>2</v>
      </c>
      <c r="F107" s="1">
        <v>112423933.81</v>
      </c>
    </row>
    <row r="108" spans="1:6" x14ac:dyDescent="0.25">
      <c r="A108" t="str">
        <f>"2770"</f>
        <v>2770</v>
      </c>
      <c r="B10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8" t="str">
        <f t="shared" si="15"/>
        <v>1</v>
      </c>
      <c r="D108" t="str">
        <f>"7"</f>
        <v>7</v>
      </c>
      <c r="E108" t="str">
        <f t="shared" ref="E108:E113" si="16">"1"</f>
        <v>1</v>
      </c>
      <c r="F108" s="1">
        <v>735188.39</v>
      </c>
    </row>
    <row r="109" spans="1:6" x14ac:dyDescent="0.25">
      <c r="A109" t="str">
        <f>"2770"</f>
        <v>2770</v>
      </c>
      <c r="B10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9" t="str">
        <f t="shared" si="15"/>
        <v>1</v>
      </c>
      <c r="D109" t="str">
        <f>"6"</f>
        <v>6</v>
      </c>
      <c r="E109" t="str">
        <f t="shared" si="16"/>
        <v>1</v>
      </c>
      <c r="F109" s="1">
        <v>132637.65</v>
      </c>
    </row>
    <row r="110" spans="1:6" x14ac:dyDescent="0.25">
      <c r="A110" t="str">
        <f>"2794"</f>
        <v>2794</v>
      </c>
      <c r="B110" t="str">
        <f>"Доходы будущих периодов"</f>
        <v>Доходы будущих периодов</v>
      </c>
      <c r="C110" t="str">
        <f t="shared" si="15"/>
        <v>1</v>
      </c>
      <c r="D110" t="str">
        <f>"9"</f>
        <v>9</v>
      </c>
      <c r="E110" t="str">
        <f t="shared" si="16"/>
        <v>1</v>
      </c>
      <c r="F110" s="1">
        <v>79796655</v>
      </c>
    </row>
    <row r="111" spans="1:6" x14ac:dyDescent="0.25">
      <c r="A111" t="str">
        <f>"2794"</f>
        <v>2794</v>
      </c>
      <c r="B111" t="str">
        <f>"Доходы будущих периодов"</f>
        <v>Доходы будущих периодов</v>
      </c>
      <c r="C111" t="str">
        <f t="shared" si="15"/>
        <v>1</v>
      </c>
      <c r="D111" t="str">
        <f>"7"</f>
        <v>7</v>
      </c>
      <c r="E111" t="str">
        <f t="shared" si="16"/>
        <v>1</v>
      </c>
      <c r="F111" s="1">
        <v>1241312937</v>
      </c>
    </row>
    <row r="112" spans="1:6" x14ac:dyDescent="0.25">
      <c r="A112" t="str">
        <f>"2820"</f>
        <v>2820</v>
      </c>
      <c r="B11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12" t="str">
        <f t="shared" si="15"/>
        <v>1</v>
      </c>
      <c r="D112" t="str">
        <f>""</f>
        <v/>
      </c>
      <c r="E112" t="str">
        <f t="shared" si="16"/>
        <v>1</v>
      </c>
      <c r="F112" s="1">
        <v>17000000</v>
      </c>
    </row>
    <row r="113" spans="1:6" x14ac:dyDescent="0.25">
      <c r="A113" t="str">
        <f>"2851"</f>
        <v>2851</v>
      </c>
      <c r="B11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3" t="str">
        <f t="shared" si="15"/>
        <v>1</v>
      </c>
      <c r="D113" t="str">
        <f>"1"</f>
        <v>1</v>
      </c>
      <c r="E113" t="str">
        <f t="shared" si="16"/>
        <v>1</v>
      </c>
      <c r="F113" s="1">
        <v>16331724.560000001</v>
      </c>
    </row>
    <row r="114" spans="1:6" x14ac:dyDescent="0.25">
      <c r="A114" t="str">
        <f t="shared" ref="A114:A119" si="17">"2860"</f>
        <v>2860</v>
      </c>
      <c r="B114" t="str">
        <f t="shared" ref="B114:B119" si="18">"Прочие кредиторы по банковской деятельности"</f>
        <v>Прочие кредиторы по банковской деятельности</v>
      </c>
      <c r="C114" t="str">
        <f>"2"</f>
        <v>2</v>
      </c>
      <c r="D114" t="str">
        <f>"4"</f>
        <v>4</v>
      </c>
      <c r="E114" t="str">
        <f>"2"</f>
        <v>2</v>
      </c>
      <c r="F114" s="1">
        <v>95927.84</v>
      </c>
    </row>
    <row r="115" spans="1:6" x14ac:dyDescent="0.25">
      <c r="A115" t="str">
        <f t="shared" si="17"/>
        <v>2860</v>
      </c>
      <c r="B115" t="str">
        <f t="shared" si="18"/>
        <v>Прочие кредиторы по банковской деятельности</v>
      </c>
      <c r="C115" t="str">
        <f>"2"</f>
        <v>2</v>
      </c>
      <c r="D115" t="str">
        <f>"5"</f>
        <v>5</v>
      </c>
      <c r="E115" t="str">
        <f>"3"</f>
        <v>3</v>
      </c>
      <c r="F115" s="1">
        <v>186714</v>
      </c>
    </row>
    <row r="116" spans="1:6" x14ac:dyDescent="0.25">
      <c r="A116" t="str">
        <f t="shared" si="17"/>
        <v>2860</v>
      </c>
      <c r="B116" t="str">
        <f t="shared" si="18"/>
        <v>Прочие кредиторы по банковской деятельности</v>
      </c>
      <c r="C116" t="str">
        <f>"1"</f>
        <v>1</v>
      </c>
      <c r="D116" t="str">
        <f>"7"</f>
        <v>7</v>
      </c>
      <c r="E116" t="str">
        <f>"1"</f>
        <v>1</v>
      </c>
      <c r="F116" s="1">
        <v>754553.57</v>
      </c>
    </row>
    <row r="117" spans="1:6" x14ac:dyDescent="0.25">
      <c r="A117" t="str">
        <f t="shared" si="17"/>
        <v>2860</v>
      </c>
      <c r="B117" t="str">
        <f t="shared" si="18"/>
        <v>Прочие кредиторы по банковской деятельности</v>
      </c>
      <c r="C117" t="str">
        <f>"2"</f>
        <v>2</v>
      </c>
      <c r="D117" t="str">
        <f>"7"</f>
        <v>7</v>
      </c>
      <c r="E117" t="str">
        <f>"2"</f>
        <v>2</v>
      </c>
      <c r="F117" s="1">
        <v>19905492.670000002</v>
      </c>
    </row>
    <row r="118" spans="1:6" x14ac:dyDescent="0.25">
      <c r="A118" t="str">
        <f t="shared" si="17"/>
        <v>2860</v>
      </c>
      <c r="B118" t="str">
        <f t="shared" si="18"/>
        <v>Прочие кредиторы по банковской деятельности</v>
      </c>
      <c r="C118" t="str">
        <f>"2"</f>
        <v>2</v>
      </c>
      <c r="D118" t="str">
        <f>"5"</f>
        <v>5</v>
      </c>
      <c r="E118" t="str">
        <f>"2"</f>
        <v>2</v>
      </c>
      <c r="F118" s="1">
        <v>208801.26</v>
      </c>
    </row>
    <row r="119" spans="1:6" x14ac:dyDescent="0.25">
      <c r="A119" t="str">
        <f t="shared" si="17"/>
        <v>2860</v>
      </c>
      <c r="B119" t="str">
        <f t="shared" si="18"/>
        <v>Прочие кредиторы по банковской деятельности</v>
      </c>
      <c r="C119" t="str">
        <f>"1"</f>
        <v>1</v>
      </c>
      <c r="D119" t="str">
        <f>"5"</f>
        <v>5</v>
      </c>
      <c r="E119" t="str">
        <f>"1"</f>
        <v>1</v>
      </c>
      <c r="F119" s="1">
        <v>1317405.76</v>
      </c>
    </row>
    <row r="120" spans="1:6" x14ac:dyDescent="0.25">
      <c r="A120" t="str">
        <f>"2861"</f>
        <v>2861</v>
      </c>
      <c r="B120" t="str">
        <f>"Резерв на отпускные выплаты"</f>
        <v>Резерв на отпускные выплаты</v>
      </c>
      <c r="C120" t="str">
        <f>""</f>
        <v/>
      </c>
      <c r="D120" t="str">
        <f>""</f>
        <v/>
      </c>
      <c r="E120" t="str">
        <f>""</f>
        <v/>
      </c>
      <c r="F120" s="1">
        <v>28295821.870000001</v>
      </c>
    </row>
    <row r="121" spans="1:6" x14ac:dyDescent="0.25">
      <c r="A121" t="str">
        <f>"2867"</f>
        <v>2867</v>
      </c>
      <c r="B121" t="str">
        <f>"Прочие кредиторы по неосновной деятельности"</f>
        <v>Прочие кредиторы по неосновной деятельности</v>
      </c>
      <c r="C121" t="str">
        <f>"1"</f>
        <v>1</v>
      </c>
      <c r="D121" t="str">
        <f>"7"</f>
        <v>7</v>
      </c>
      <c r="E121" t="str">
        <f>"1"</f>
        <v>1</v>
      </c>
      <c r="F121" s="1">
        <v>213560.35</v>
      </c>
    </row>
    <row r="122" spans="1:6" x14ac:dyDescent="0.25">
      <c r="A122" t="str">
        <f>"2867"</f>
        <v>2867</v>
      </c>
      <c r="B122" t="str">
        <f>"Прочие кредиторы по неосновной деятельности"</f>
        <v>Прочие кредиторы по неосновной деятельности</v>
      </c>
      <c r="C122" t="str">
        <f>"1"</f>
        <v>1</v>
      </c>
      <c r="D122" t="str">
        <f>"9"</f>
        <v>9</v>
      </c>
      <c r="E122" t="str">
        <f>"1"</f>
        <v>1</v>
      </c>
      <c r="F122" s="1">
        <v>22800</v>
      </c>
    </row>
    <row r="123" spans="1:6" x14ac:dyDescent="0.25">
      <c r="A123" t="str">
        <f>"2867"</f>
        <v>2867</v>
      </c>
      <c r="B123" t="str">
        <f>"Прочие кредиторы по неосновной деятельности"</f>
        <v>Прочие кредиторы по неосновной деятельности</v>
      </c>
      <c r="C123" t="str">
        <f>"1"</f>
        <v>1</v>
      </c>
      <c r="D123" t="str">
        <f>"6"</f>
        <v>6</v>
      </c>
      <c r="E123" t="str">
        <f>"1"</f>
        <v>1</v>
      </c>
      <c r="F123" s="1">
        <v>613440</v>
      </c>
    </row>
    <row r="124" spans="1:6" x14ac:dyDescent="0.25">
      <c r="A124" t="str">
        <f>"2869"</f>
        <v>2869</v>
      </c>
      <c r="B124" t="str">
        <f>"Выданные гарантии"</f>
        <v>Выданные гарантии</v>
      </c>
      <c r="C124" t="str">
        <f>"1"</f>
        <v>1</v>
      </c>
      <c r="D124" t="str">
        <f>"7"</f>
        <v>7</v>
      </c>
      <c r="E124" t="str">
        <f>"1"</f>
        <v>1</v>
      </c>
      <c r="F124" s="1">
        <v>997216334</v>
      </c>
    </row>
    <row r="125" spans="1:6" x14ac:dyDescent="0.25">
      <c r="A125" t="str">
        <f>"2870"</f>
        <v>2870</v>
      </c>
      <c r="B125" t="str">
        <f>"Прочие транзитные счета"</f>
        <v>Прочие транзитные счета</v>
      </c>
      <c r="C125" t="str">
        <f>"1"</f>
        <v>1</v>
      </c>
      <c r="D125" t="str">
        <f>"7"</f>
        <v>7</v>
      </c>
      <c r="E125" t="str">
        <f>"2"</f>
        <v>2</v>
      </c>
      <c r="F125" s="1">
        <v>25112000</v>
      </c>
    </row>
    <row r="126" spans="1:6" x14ac:dyDescent="0.25">
      <c r="A126" t="str">
        <f>"2870"</f>
        <v>2870</v>
      </c>
      <c r="B126" t="str">
        <f>"Прочие транзитные счета"</f>
        <v>Прочие транзитные счета</v>
      </c>
      <c r="C126" t="str">
        <f>"2"</f>
        <v>2</v>
      </c>
      <c r="D126" t="str">
        <f>"7"</f>
        <v>7</v>
      </c>
      <c r="E126" t="str">
        <f>"3"</f>
        <v>3</v>
      </c>
      <c r="F126" s="1">
        <v>918134586.73000002</v>
      </c>
    </row>
    <row r="127" spans="1:6" x14ac:dyDescent="0.25">
      <c r="A127" t="str">
        <f>"2870"</f>
        <v>2870</v>
      </c>
      <c r="B127" t="str">
        <f>"Прочие транзитные счета"</f>
        <v>Прочие транзитные счета</v>
      </c>
      <c r="C127" t="str">
        <f>"1"</f>
        <v>1</v>
      </c>
      <c r="D127" t="str">
        <f>"7"</f>
        <v>7</v>
      </c>
      <c r="E127" t="str">
        <f>"3"</f>
        <v>3</v>
      </c>
      <c r="F127" s="1">
        <v>1426750000.75</v>
      </c>
    </row>
    <row r="128" spans="1:6" x14ac:dyDescent="0.25">
      <c r="A128" t="str">
        <f>"2870"</f>
        <v>2870</v>
      </c>
      <c r="B128" t="str">
        <f>"Прочие транзитные счета"</f>
        <v>Прочие транзитные счета</v>
      </c>
      <c r="C128" t="str">
        <f>"1"</f>
        <v>1</v>
      </c>
      <c r="D128" t="str">
        <f>"9"</f>
        <v>9</v>
      </c>
      <c r="E128" t="str">
        <f>"2"</f>
        <v>2</v>
      </c>
      <c r="F128" s="1">
        <v>251120</v>
      </c>
    </row>
    <row r="129" spans="1:6" x14ac:dyDescent="0.25">
      <c r="A129" t="str">
        <f>"2870"</f>
        <v>2870</v>
      </c>
      <c r="B129" t="str">
        <f>"Прочие транзитные счета"</f>
        <v>Прочие транзитные счета</v>
      </c>
      <c r="C129" t="str">
        <f>"2"</f>
        <v>2</v>
      </c>
      <c r="D129" t="str">
        <f>"7"</f>
        <v>7</v>
      </c>
      <c r="E129" t="str">
        <f>"2"</f>
        <v>2</v>
      </c>
      <c r="F129" s="1">
        <v>50241629.280000001</v>
      </c>
    </row>
    <row r="130" spans="1:6" x14ac:dyDescent="0.25">
      <c r="A130" t="str">
        <f>"2871"</f>
        <v>2871</v>
      </c>
      <c r="B130" t="str">
        <f>"Счет благотворительных выплат"</f>
        <v>Счет благотворительных выплат</v>
      </c>
      <c r="C130" t="str">
        <f>"1"</f>
        <v>1</v>
      </c>
      <c r="D130" t="str">
        <f>""</f>
        <v/>
      </c>
      <c r="E130" t="str">
        <f>"1"</f>
        <v>1</v>
      </c>
      <c r="F130" s="1">
        <v>57058.54</v>
      </c>
    </row>
    <row r="131" spans="1:6" x14ac:dyDescent="0.25">
      <c r="A131" t="str">
        <f>"2875"</f>
        <v>2875</v>
      </c>
      <c r="B13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31" t="str">
        <f>"1"</f>
        <v>1</v>
      </c>
      <c r="D131" t="str">
        <f>"7"</f>
        <v>7</v>
      </c>
      <c r="E131" t="str">
        <f>"1"</f>
        <v>1</v>
      </c>
      <c r="F131" s="1">
        <v>70250442</v>
      </c>
    </row>
    <row r="132" spans="1:6" x14ac:dyDescent="0.25">
      <c r="A132" t="str">
        <f>"3001"</f>
        <v>3001</v>
      </c>
      <c r="B132" t="str">
        <f>"Уставный капитал – простые акции"</f>
        <v>Уставный капитал – простые акции</v>
      </c>
      <c r="C132" t="str">
        <f>""</f>
        <v/>
      </c>
      <c r="D132" t="str">
        <f>""</f>
        <v/>
      </c>
      <c r="E132" t="str">
        <f>""</f>
        <v/>
      </c>
      <c r="F132" s="1">
        <v>10050000000</v>
      </c>
    </row>
    <row r="133" spans="1:6" x14ac:dyDescent="0.25">
      <c r="A133" t="str">
        <f>"3101"</f>
        <v>3101</v>
      </c>
      <c r="B133" t="str">
        <f>"Дополнительный оплаченный капитал"</f>
        <v>Дополнительный оплаченный капитал</v>
      </c>
      <c r="C133" t="str">
        <f>""</f>
        <v/>
      </c>
      <c r="D133" t="str">
        <f>""</f>
        <v/>
      </c>
      <c r="E133" t="str">
        <f>""</f>
        <v/>
      </c>
      <c r="F133" s="1">
        <v>122037229.23</v>
      </c>
    </row>
    <row r="134" spans="1:6" x14ac:dyDescent="0.25">
      <c r="A134" t="str">
        <f>"3510"</f>
        <v>3510</v>
      </c>
      <c r="B134" t="str">
        <f>"Резервный капитал"</f>
        <v>Резервный капитал</v>
      </c>
      <c r="C134" t="str">
        <f>""</f>
        <v/>
      </c>
      <c r="D134" t="str">
        <f>""</f>
        <v/>
      </c>
      <c r="E134" t="str">
        <f>""</f>
        <v/>
      </c>
      <c r="F134" s="1">
        <v>618508087.67999995</v>
      </c>
    </row>
    <row r="135" spans="1:6" x14ac:dyDescent="0.25">
      <c r="A135" t="str">
        <f>"3580"</f>
        <v>3580</v>
      </c>
      <c r="B13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35" t="str">
        <f>""</f>
        <v/>
      </c>
      <c r="D135" t="str">
        <f>""</f>
        <v/>
      </c>
      <c r="E135" t="str">
        <f>""</f>
        <v/>
      </c>
      <c r="F135" s="1">
        <v>1284907240.0899999</v>
      </c>
    </row>
    <row r="136" spans="1:6" x14ac:dyDescent="0.25">
      <c r="A136" t="str">
        <f>"3599"</f>
        <v>3599</v>
      </c>
      <c r="B136" t="str">
        <f>"Нераспределенная чистая прибыль (непокрытый убыток)"</f>
        <v>Нераспределенная чистая прибыль (непокрытый убыток)</v>
      </c>
      <c r="C136" t="str">
        <f>""</f>
        <v/>
      </c>
      <c r="D136" t="str">
        <f>""</f>
        <v/>
      </c>
      <c r="E136" t="str">
        <f>""</f>
        <v/>
      </c>
      <c r="F136" s="1">
        <v>693910374.29999995</v>
      </c>
    </row>
    <row r="137" spans="1:6" x14ac:dyDescent="0.25">
      <c r="A137" t="str">
        <f>"4101"</f>
        <v>4101</v>
      </c>
      <c r="B13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137" t="str">
        <f>""</f>
        <v/>
      </c>
      <c r="D137" t="str">
        <f>""</f>
        <v/>
      </c>
      <c r="E137" t="str">
        <f>""</f>
        <v/>
      </c>
      <c r="F137" s="1">
        <v>158950624.99000001</v>
      </c>
    </row>
    <row r="138" spans="1:6" x14ac:dyDescent="0.25">
      <c r="A138" t="str">
        <f>"4426"</f>
        <v>4426</v>
      </c>
      <c r="B138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C138" t="str">
        <f>""</f>
        <v/>
      </c>
      <c r="D138" t="str">
        <f>""</f>
        <v/>
      </c>
      <c r="E138" t="str">
        <f>""</f>
        <v/>
      </c>
      <c r="F138" s="1">
        <v>1312183679</v>
      </c>
    </row>
    <row r="139" spans="1:6" x14ac:dyDescent="0.25">
      <c r="A139" t="str">
        <f>"4430"</f>
        <v>4430</v>
      </c>
      <c r="B139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C139" t="str">
        <f>""</f>
        <v/>
      </c>
      <c r="D139" t="str">
        <f>""</f>
        <v/>
      </c>
      <c r="E139" t="str">
        <f>""</f>
        <v/>
      </c>
      <c r="F139" s="1">
        <v>359132387</v>
      </c>
    </row>
    <row r="140" spans="1:6" x14ac:dyDescent="0.25">
      <c r="A140" t="str">
        <f>"4530"</f>
        <v>4530</v>
      </c>
      <c r="B140" t="str">
        <f>"Доходы по купле-продаже иностранной валюты"</f>
        <v>Доходы по купле-продаже иностранной валюты</v>
      </c>
      <c r="C140" t="str">
        <f>""</f>
        <v/>
      </c>
      <c r="D140" t="str">
        <f>""</f>
        <v/>
      </c>
      <c r="E140" t="str">
        <f>""</f>
        <v/>
      </c>
      <c r="F140" s="1">
        <v>1663385627.8199999</v>
      </c>
    </row>
    <row r="141" spans="1:6" x14ac:dyDescent="0.25">
      <c r="A141" t="str">
        <f>"4601"</f>
        <v>4601</v>
      </c>
      <c r="B141" t="str">
        <f>"Комиссионные доходы за услуги по переводным операциям"</f>
        <v>Комиссионные доходы за услуги по переводным операциям</v>
      </c>
      <c r="C141" t="str">
        <f>""</f>
        <v/>
      </c>
      <c r="D141" t="str">
        <f>""</f>
        <v/>
      </c>
      <c r="E141" t="str">
        <f>""</f>
        <v/>
      </c>
      <c r="F141" s="1">
        <v>25885967.440000001</v>
      </c>
    </row>
    <row r="142" spans="1:6" x14ac:dyDescent="0.25">
      <c r="A142" t="str">
        <f>"4606"</f>
        <v>4606</v>
      </c>
      <c r="B142" t="str">
        <f>"Комиссионные доходы за услуги по операциям с гарантиями"</f>
        <v>Комиссионные доходы за услуги по операциям с гарантиями</v>
      </c>
      <c r="C142" t="str">
        <f>""</f>
        <v/>
      </c>
      <c r="D142" t="str">
        <f>""</f>
        <v/>
      </c>
      <c r="E142" t="str">
        <f>""</f>
        <v/>
      </c>
      <c r="F142" s="1">
        <v>516649744.69999999</v>
      </c>
    </row>
    <row r="143" spans="1:6" x14ac:dyDescent="0.25">
      <c r="A143" t="str">
        <f>"4607"</f>
        <v>4607</v>
      </c>
      <c r="B14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43" t="str">
        <f>""</f>
        <v/>
      </c>
      <c r="D143" t="str">
        <f>""</f>
        <v/>
      </c>
      <c r="E143" t="str">
        <f>""</f>
        <v/>
      </c>
      <c r="F143" s="1">
        <v>6103102.9100000001</v>
      </c>
    </row>
    <row r="144" spans="1:6" x14ac:dyDescent="0.25">
      <c r="A144" t="str">
        <f>"4608"</f>
        <v>4608</v>
      </c>
      <c r="B144" t="str">
        <f>"Прочие комиссионные доходы"</f>
        <v>Прочие комиссионные доходы</v>
      </c>
      <c r="C144" t="str">
        <f>""</f>
        <v/>
      </c>
      <c r="D144" t="str">
        <f>""</f>
        <v/>
      </c>
      <c r="E144" t="str">
        <f>""</f>
        <v/>
      </c>
      <c r="F144" s="1">
        <v>3862224.41</v>
      </c>
    </row>
    <row r="145" spans="1:6" x14ac:dyDescent="0.25">
      <c r="A145" t="str">
        <f>"4611"</f>
        <v>4611</v>
      </c>
      <c r="B145" t="str">
        <f>"Комиссионные доходы за услуги по кассовым операциям"</f>
        <v>Комиссионные доходы за услуги по кассовым операциям</v>
      </c>
      <c r="C145" t="str">
        <f>""</f>
        <v/>
      </c>
      <c r="D145" t="str">
        <f>""</f>
        <v/>
      </c>
      <c r="E145" t="str">
        <f>""</f>
        <v/>
      </c>
      <c r="F145" s="1">
        <v>10966977.470000001</v>
      </c>
    </row>
    <row r="146" spans="1:6" x14ac:dyDescent="0.25">
      <c r="A146" t="str">
        <f>"4617"</f>
        <v>4617</v>
      </c>
      <c r="B146" t="str">
        <f>"Комиссионные доходы за услуги по сейфовым операциям"</f>
        <v>Комиссионные доходы за услуги по сейфовым операциям</v>
      </c>
      <c r="C146" t="str">
        <f>""</f>
        <v/>
      </c>
      <c r="D146" t="str">
        <f>""</f>
        <v/>
      </c>
      <c r="E146" t="str">
        <f>""</f>
        <v/>
      </c>
      <c r="F146" s="1">
        <v>115624.92</v>
      </c>
    </row>
    <row r="147" spans="1:6" x14ac:dyDescent="0.25">
      <c r="A147" t="str">
        <f>"4618"</f>
        <v>4618</v>
      </c>
      <c r="B147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C147" t="str">
        <f>""</f>
        <v/>
      </c>
      <c r="D147" t="str">
        <f>""</f>
        <v/>
      </c>
      <c r="E147" t="str">
        <f>""</f>
        <v/>
      </c>
      <c r="F147" s="1">
        <v>250000</v>
      </c>
    </row>
    <row r="148" spans="1:6" x14ac:dyDescent="0.25">
      <c r="A148" t="str">
        <f>"4703"</f>
        <v>4703</v>
      </c>
      <c r="B148" t="str">
        <f>"Доход от переоценки иностранной валюты"</f>
        <v>Доход от переоценки иностранной валюты</v>
      </c>
      <c r="C148" t="str">
        <f>""</f>
        <v/>
      </c>
      <c r="D148" t="str">
        <f>""</f>
        <v/>
      </c>
      <c r="E148" t="str">
        <f>""</f>
        <v/>
      </c>
      <c r="F148" s="1">
        <v>1052970944.4</v>
      </c>
    </row>
    <row r="149" spans="1:6" x14ac:dyDescent="0.25">
      <c r="A149" t="str">
        <f>"4921"</f>
        <v>4921</v>
      </c>
      <c r="B149" t="str">
        <f>"Прочие доходы от банковской деятельности"</f>
        <v>Прочие доходы от банковской деятельности</v>
      </c>
      <c r="C149" t="str">
        <f>""</f>
        <v/>
      </c>
      <c r="D149" t="str">
        <f>""</f>
        <v/>
      </c>
      <c r="E149" t="str">
        <f>""</f>
        <v/>
      </c>
      <c r="F149" s="1">
        <v>34162709.219999999</v>
      </c>
    </row>
    <row r="150" spans="1:6" x14ac:dyDescent="0.25">
      <c r="A150" t="str">
        <f>"4922"</f>
        <v>4922</v>
      </c>
      <c r="B150" t="str">
        <f>"Прочие доходы от неосновной деятельности"</f>
        <v>Прочие доходы от неосновной деятельности</v>
      </c>
      <c r="C150" t="str">
        <f>""</f>
        <v/>
      </c>
      <c r="D150" t="str">
        <f>""</f>
        <v/>
      </c>
      <c r="E150" t="str">
        <f>""</f>
        <v/>
      </c>
      <c r="F150" s="1">
        <v>6944683</v>
      </c>
    </row>
    <row r="151" spans="1:6" x14ac:dyDescent="0.25">
      <c r="A151" t="str">
        <f>"4953"</f>
        <v>4953</v>
      </c>
      <c r="B15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151" t="str">
        <f>""</f>
        <v/>
      </c>
      <c r="D151" t="str">
        <f>""</f>
        <v/>
      </c>
      <c r="E151" t="str">
        <f>""</f>
        <v/>
      </c>
      <c r="F151" s="1">
        <v>450158543</v>
      </c>
    </row>
    <row r="152" spans="1:6" x14ac:dyDescent="0.25">
      <c r="A152" t="str">
        <f>"4955"</f>
        <v>4955</v>
      </c>
      <c r="B15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52" t="str">
        <f>""</f>
        <v/>
      </c>
      <c r="D152" t="str">
        <f>""</f>
        <v/>
      </c>
      <c r="E152" t="str">
        <f>""</f>
        <v/>
      </c>
      <c r="F152" s="1">
        <v>8664808878</v>
      </c>
    </row>
    <row r="153" spans="1:6" x14ac:dyDescent="0.25">
      <c r="A153" t="str">
        <f>"4956"</f>
        <v>4956</v>
      </c>
      <c r="B15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53" t="str">
        <f>""</f>
        <v/>
      </c>
      <c r="D153" t="str">
        <f>""</f>
        <v/>
      </c>
      <c r="E153" t="str">
        <f>""</f>
        <v/>
      </c>
      <c r="F153" s="1">
        <v>884058608.44000006</v>
      </c>
    </row>
    <row r="154" spans="1:6" x14ac:dyDescent="0.25">
      <c r="A154" t="str">
        <f>"4958"</f>
        <v>4958</v>
      </c>
      <c r="B15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4" t="str">
        <f>""</f>
        <v/>
      </c>
      <c r="D154" t="str">
        <f>""</f>
        <v/>
      </c>
      <c r="E154" t="str">
        <f>""</f>
        <v/>
      </c>
      <c r="F154" s="1">
        <v>1094491392</v>
      </c>
    </row>
    <row r="155" spans="1:6" x14ac:dyDescent="0.25">
      <c r="A155" t="str">
        <f>"4959"</f>
        <v>4959</v>
      </c>
      <c r="B15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155" t="str">
        <f>""</f>
        <v/>
      </c>
      <c r="D155" t="str">
        <f>""</f>
        <v/>
      </c>
      <c r="E155" t="str">
        <f>""</f>
        <v/>
      </c>
      <c r="F155" s="1">
        <v>4475250</v>
      </c>
    </row>
    <row r="156" spans="1:6" x14ac:dyDescent="0.25">
      <c r="A156" t="str">
        <f>"5227"</f>
        <v>5227</v>
      </c>
      <c r="B156" t="str">
        <f>"Процентные расходы по обязательствам по аренде"</f>
        <v>Процентные расходы по обязательствам по аренде</v>
      </c>
      <c r="C156" t="str">
        <f>""</f>
        <v/>
      </c>
      <c r="D156" t="str">
        <f>""</f>
        <v/>
      </c>
      <c r="E156" t="str">
        <f>""</f>
        <v/>
      </c>
      <c r="F156" s="1">
        <v>41288775.590000004</v>
      </c>
    </row>
    <row r="157" spans="1:6" x14ac:dyDescent="0.25">
      <c r="A157" t="str">
        <f>"5232"</f>
        <v>5232</v>
      </c>
      <c r="B157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C157" t="str">
        <f>""</f>
        <v/>
      </c>
      <c r="D157" t="str">
        <f>""</f>
        <v/>
      </c>
      <c r="E157" t="str">
        <f>""</f>
        <v/>
      </c>
      <c r="F157" s="1">
        <v>58261585</v>
      </c>
    </row>
    <row r="158" spans="1:6" x14ac:dyDescent="0.25">
      <c r="A158" t="str">
        <f>"5453"</f>
        <v>5453</v>
      </c>
      <c r="B158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158" t="str">
        <f>""</f>
        <v/>
      </c>
      <c r="D158" t="str">
        <f>""</f>
        <v/>
      </c>
      <c r="E158" t="str">
        <f>""</f>
        <v/>
      </c>
      <c r="F158" s="1">
        <v>138968609.09999999</v>
      </c>
    </row>
    <row r="159" spans="1:6" x14ac:dyDescent="0.25">
      <c r="A159" t="str">
        <f>"5455"</f>
        <v>5455</v>
      </c>
      <c r="B15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9" t="str">
        <f>""</f>
        <v/>
      </c>
      <c r="D159" t="str">
        <f>""</f>
        <v/>
      </c>
      <c r="E159" t="str">
        <f>""</f>
        <v/>
      </c>
      <c r="F159" s="1">
        <v>9329839143.2700005</v>
      </c>
    </row>
    <row r="160" spans="1:6" x14ac:dyDescent="0.25">
      <c r="A160" t="str">
        <f>"5456"</f>
        <v>5456</v>
      </c>
      <c r="B16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60" t="str">
        <f>""</f>
        <v/>
      </c>
      <c r="D160" t="str">
        <f>""</f>
        <v/>
      </c>
      <c r="E160" t="str">
        <f>""</f>
        <v/>
      </c>
      <c r="F160" s="1">
        <v>897519384.60000002</v>
      </c>
    </row>
    <row r="161" spans="1:6" x14ac:dyDescent="0.25">
      <c r="A161" t="str">
        <f>"5465"</f>
        <v>5465</v>
      </c>
      <c r="B16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61" t="str">
        <f>""</f>
        <v/>
      </c>
      <c r="D161" t="str">
        <f>""</f>
        <v/>
      </c>
      <c r="E161" t="str">
        <f>""</f>
        <v/>
      </c>
      <c r="F161" s="1">
        <v>1418315163</v>
      </c>
    </row>
    <row r="162" spans="1:6" x14ac:dyDescent="0.25">
      <c r="A162" t="str">
        <f>"5530"</f>
        <v>5530</v>
      </c>
      <c r="B162" t="str">
        <f>"Расходы по купле-продаже иностранной валюты"</f>
        <v>Расходы по купле-продаже иностранной валюты</v>
      </c>
      <c r="C162" t="str">
        <f>""</f>
        <v/>
      </c>
      <c r="D162" t="str">
        <f>""</f>
        <v/>
      </c>
      <c r="E162" t="str">
        <f>""</f>
        <v/>
      </c>
      <c r="F162" s="1">
        <v>1378160083.0599999</v>
      </c>
    </row>
    <row r="163" spans="1:6" x14ac:dyDescent="0.25">
      <c r="A163" t="str">
        <f>"5601"</f>
        <v>5601</v>
      </c>
      <c r="B16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3" t="str">
        <f>""</f>
        <v/>
      </c>
      <c r="D163" t="str">
        <f>""</f>
        <v/>
      </c>
      <c r="E163" t="str">
        <f>""</f>
        <v/>
      </c>
      <c r="F163" s="1">
        <v>10564096.58</v>
      </c>
    </row>
    <row r="164" spans="1:6" x14ac:dyDescent="0.25">
      <c r="A164" t="str">
        <f>"5608"</f>
        <v>5608</v>
      </c>
      <c r="B164" t="str">
        <f>"Прочие комиссионные расходы"</f>
        <v>Прочие комиссионные расходы</v>
      </c>
      <c r="C164" t="str">
        <f>""</f>
        <v/>
      </c>
      <c r="D164" t="str">
        <f>""</f>
        <v/>
      </c>
      <c r="E164" t="str">
        <f>""</f>
        <v/>
      </c>
      <c r="F164" s="1">
        <v>55409490.729999997</v>
      </c>
    </row>
    <row r="165" spans="1:6" x14ac:dyDescent="0.25">
      <c r="A165" t="str">
        <f>"5703"</f>
        <v>5703</v>
      </c>
      <c r="B165" t="str">
        <f>"Расходы от переоценки иностранной валюты"</f>
        <v>Расходы от переоценки иностранной валюты</v>
      </c>
      <c r="C165" t="str">
        <f>""</f>
        <v/>
      </c>
      <c r="D165" t="str">
        <f>""</f>
        <v/>
      </c>
      <c r="E165" t="str">
        <f>""</f>
        <v/>
      </c>
      <c r="F165" s="1">
        <v>1094318040.53</v>
      </c>
    </row>
    <row r="166" spans="1:6" x14ac:dyDescent="0.25">
      <c r="A166" t="str">
        <f>"5721"</f>
        <v>5721</v>
      </c>
      <c r="B166" t="str">
        <f>"Расходы по оплате труда"</f>
        <v>Расходы по оплате труда</v>
      </c>
      <c r="C166" t="str">
        <f>""</f>
        <v/>
      </c>
      <c r="D166" t="str">
        <f>""</f>
        <v/>
      </c>
      <c r="E166" t="str">
        <f>""</f>
        <v/>
      </c>
      <c r="F166" s="1">
        <v>402077641.81999999</v>
      </c>
    </row>
    <row r="167" spans="1:6" x14ac:dyDescent="0.25">
      <c r="A167" t="str">
        <f>"5722"</f>
        <v>5722</v>
      </c>
      <c r="B16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167" t="str">
        <f>""</f>
        <v/>
      </c>
      <c r="D167" t="str">
        <f>""</f>
        <v/>
      </c>
      <c r="E167" t="str">
        <f>""</f>
        <v/>
      </c>
      <c r="F167" s="1">
        <v>18119653</v>
      </c>
    </row>
    <row r="168" spans="1:6" x14ac:dyDescent="0.25">
      <c r="A168" t="str">
        <f>"5729"</f>
        <v>5729</v>
      </c>
      <c r="B168" t="str">
        <f>"Прочие выплаты"</f>
        <v>Прочие выплаты</v>
      </c>
      <c r="C168" t="str">
        <f>""</f>
        <v/>
      </c>
      <c r="D168" t="str">
        <f>""</f>
        <v/>
      </c>
      <c r="E168" t="str">
        <f>""</f>
        <v/>
      </c>
      <c r="F168" s="1">
        <v>5040120.8899999997</v>
      </c>
    </row>
    <row r="169" spans="1:6" x14ac:dyDescent="0.25">
      <c r="A169" t="str">
        <f>"5741"</f>
        <v>5741</v>
      </c>
      <c r="B169" t="str">
        <f>"Транспортные расходы"</f>
        <v>Транспортные расходы</v>
      </c>
      <c r="C169" t="str">
        <f>""</f>
        <v/>
      </c>
      <c r="D169" t="str">
        <f>""</f>
        <v/>
      </c>
      <c r="E169" t="str">
        <f>""</f>
        <v/>
      </c>
      <c r="F169" s="1">
        <v>2141936.5499999998</v>
      </c>
    </row>
    <row r="170" spans="1:6" x14ac:dyDescent="0.25">
      <c r="A170" t="str">
        <f>"5742"</f>
        <v>5742</v>
      </c>
      <c r="B170" t="str">
        <f>"Административные расходы"</f>
        <v>Административные расходы</v>
      </c>
      <c r="C170" t="str">
        <f>""</f>
        <v/>
      </c>
      <c r="D170" t="str">
        <f>""</f>
        <v/>
      </c>
      <c r="E170" t="str">
        <f>""</f>
        <v/>
      </c>
      <c r="F170" s="1">
        <v>102804675.91</v>
      </c>
    </row>
    <row r="171" spans="1:6" x14ac:dyDescent="0.25">
      <c r="A171" t="str">
        <f>"5743"</f>
        <v>5743</v>
      </c>
      <c r="B171" t="str">
        <f>"Расходы на инкассацию"</f>
        <v>Расходы на инкассацию</v>
      </c>
      <c r="C171" t="str">
        <f>""</f>
        <v/>
      </c>
      <c r="D171" t="str">
        <f>""</f>
        <v/>
      </c>
      <c r="E171" t="str">
        <f>""</f>
        <v/>
      </c>
      <c r="F171" s="1">
        <v>9226170.7599999998</v>
      </c>
    </row>
    <row r="172" spans="1:6" x14ac:dyDescent="0.25">
      <c r="A172" t="str">
        <f>"5744"</f>
        <v>5744</v>
      </c>
      <c r="B172" t="str">
        <f>"Расходы на ремонт"</f>
        <v>Расходы на ремонт</v>
      </c>
      <c r="C172" t="str">
        <f>""</f>
        <v/>
      </c>
      <c r="D172" t="str">
        <f>""</f>
        <v/>
      </c>
      <c r="E172" t="str">
        <f>""</f>
        <v/>
      </c>
      <c r="F172" s="1">
        <v>25654550.890000001</v>
      </c>
    </row>
    <row r="173" spans="1:6" x14ac:dyDescent="0.25">
      <c r="A173" t="str">
        <f>"5745"</f>
        <v>5745</v>
      </c>
      <c r="B173" t="str">
        <f>"Расходы на рекламу"</f>
        <v>Расходы на рекламу</v>
      </c>
      <c r="C173" t="str">
        <f>""</f>
        <v/>
      </c>
      <c r="D173" t="str">
        <f>""</f>
        <v/>
      </c>
      <c r="E173" t="str">
        <f>""</f>
        <v/>
      </c>
      <c r="F173" s="1">
        <v>1186500</v>
      </c>
    </row>
    <row r="174" spans="1:6" x14ac:dyDescent="0.25">
      <c r="A174" t="str">
        <f>"5746"</f>
        <v>5746</v>
      </c>
      <c r="B174" t="str">
        <f>"Расходы на охрану и сигнализацию"</f>
        <v>Расходы на охрану и сигнализацию</v>
      </c>
      <c r="C174" t="str">
        <f>""</f>
        <v/>
      </c>
      <c r="D174" t="str">
        <f>""</f>
        <v/>
      </c>
      <c r="E174" t="str">
        <f>""</f>
        <v/>
      </c>
      <c r="F174" s="1">
        <v>22861951.789999999</v>
      </c>
    </row>
    <row r="175" spans="1:6" x14ac:dyDescent="0.25">
      <c r="A175" t="str">
        <f>"5747"</f>
        <v>5747</v>
      </c>
      <c r="B175" t="str">
        <f>"Представительские расходы"</f>
        <v>Представительские расходы</v>
      </c>
      <c r="C175" t="str">
        <f>""</f>
        <v/>
      </c>
      <c r="D175" t="str">
        <f>""</f>
        <v/>
      </c>
      <c r="E175" t="str">
        <f>""</f>
        <v/>
      </c>
      <c r="F175" s="1">
        <v>175087.13</v>
      </c>
    </row>
    <row r="176" spans="1:6" x14ac:dyDescent="0.25">
      <c r="A176" t="str">
        <f>"5748"</f>
        <v>5748</v>
      </c>
      <c r="B176" t="str">
        <f>"Прочие общехозяйственные расходы"</f>
        <v>Прочие общехозяйственные расходы</v>
      </c>
      <c r="C176" t="str">
        <f>""</f>
        <v/>
      </c>
      <c r="D176" t="str">
        <f>""</f>
        <v/>
      </c>
      <c r="E176" t="str">
        <f>""</f>
        <v/>
      </c>
      <c r="F176" s="1">
        <v>1095245.92</v>
      </c>
    </row>
    <row r="177" spans="1:6" x14ac:dyDescent="0.25">
      <c r="A177" t="str">
        <f>"5749"</f>
        <v>5749</v>
      </c>
      <c r="B177" t="str">
        <f>"Расходы на служебные командировки"</f>
        <v>Расходы на служебные командировки</v>
      </c>
      <c r="C177" t="str">
        <f>""</f>
        <v/>
      </c>
      <c r="D177" t="str">
        <f>""</f>
        <v/>
      </c>
      <c r="E177" t="str">
        <f>""</f>
        <v/>
      </c>
      <c r="F177" s="1">
        <v>4821821.24</v>
      </c>
    </row>
    <row r="178" spans="1:6" x14ac:dyDescent="0.25">
      <c r="A178" t="str">
        <f>"5750"</f>
        <v>5750</v>
      </c>
      <c r="B178" t="str">
        <f>"Расходы по аудиту и консультационным услугам"</f>
        <v>Расходы по аудиту и консультационным услугам</v>
      </c>
      <c r="C178" t="str">
        <f>""</f>
        <v/>
      </c>
      <c r="D178" t="str">
        <f>""</f>
        <v/>
      </c>
      <c r="E178" t="str">
        <f>""</f>
        <v/>
      </c>
      <c r="F178" s="1">
        <v>32384019.940000001</v>
      </c>
    </row>
    <row r="179" spans="1:6" x14ac:dyDescent="0.25">
      <c r="A179" t="str">
        <f>"5752"</f>
        <v>5752</v>
      </c>
      <c r="B179" t="str">
        <f>"Расходы по страхованию"</f>
        <v>Расходы по страхованию</v>
      </c>
      <c r="C179" t="str">
        <f>""</f>
        <v/>
      </c>
      <c r="D179" t="str">
        <f>""</f>
        <v/>
      </c>
      <c r="E179" t="str">
        <f>""</f>
        <v/>
      </c>
      <c r="F179" s="1">
        <v>222237.94</v>
      </c>
    </row>
    <row r="180" spans="1:6" x14ac:dyDescent="0.25">
      <c r="A180" t="str">
        <f>"5753"</f>
        <v>5753</v>
      </c>
      <c r="B180" t="str">
        <f>"Расходы по услугам связи"</f>
        <v>Расходы по услугам связи</v>
      </c>
      <c r="C180" t="str">
        <f>""</f>
        <v/>
      </c>
      <c r="D180" t="str">
        <f>""</f>
        <v/>
      </c>
      <c r="E180" t="str">
        <f>""</f>
        <v/>
      </c>
      <c r="F180" s="1">
        <v>29732703.629999999</v>
      </c>
    </row>
    <row r="181" spans="1:6" x14ac:dyDescent="0.25">
      <c r="A181" t="str">
        <f>"5761"</f>
        <v>5761</v>
      </c>
      <c r="B181" t="str">
        <f>"Налог на добавленную стоимость"</f>
        <v>Налог на добавленную стоимость</v>
      </c>
      <c r="C181" t="str">
        <f>""</f>
        <v/>
      </c>
      <c r="D181" t="str">
        <f>""</f>
        <v/>
      </c>
      <c r="E181" t="str">
        <f>""</f>
        <v/>
      </c>
      <c r="F181" s="1">
        <v>28894746.440000001</v>
      </c>
    </row>
    <row r="182" spans="1:6" x14ac:dyDescent="0.25">
      <c r="A182" t="str">
        <f>"5763"</f>
        <v>5763</v>
      </c>
      <c r="B182" t="str">
        <f>"Социальный налог"</f>
        <v>Социальный налог</v>
      </c>
      <c r="C182" t="str">
        <f>""</f>
        <v/>
      </c>
      <c r="D182" t="str">
        <f>""</f>
        <v/>
      </c>
      <c r="E182" t="str">
        <f>""</f>
        <v/>
      </c>
      <c r="F182" s="1">
        <v>25146056.27</v>
      </c>
    </row>
    <row r="183" spans="1:6" x14ac:dyDescent="0.25">
      <c r="A183" t="str">
        <f>"5764"</f>
        <v>5764</v>
      </c>
      <c r="B183" t="str">
        <f>"Земельный налог"</f>
        <v>Земельный налог</v>
      </c>
      <c r="C183" t="str">
        <f>""</f>
        <v/>
      </c>
      <c r="D183" t="str">
        <f>""</f>
        <v/>
      </c>
      <c r="E183" t="str">
        <f>""</f>
        <v/>
      </c>
      <c r="F183" s="1">
        <v>62450</v>
      </c>
    </row>
    <row r="184" spans="1:6" x14ac:dyDescent="0.25">
      <c r="A184" t="str">
        <f>"5765"</f>
        <v>5765</v>
      </c>
      <c r="B184" t="str">
        <f>"Налог на имущество юридических лиц"</f>
        <v>Налог на имущество юридических лиц</v>
      </c>
      <c r="C184" t="str">
        <f>""</f>
        <v/>
      </c>
      <c r="D184" t="str">
        <f>""</f>
        <v/>
      </c>
      <c r="E184" t="str">
        <f>""</f>
        <v/>
      </c>
      <c r="F184" s="1">
        <v>2861588</v>
      </c>
    </row>
    <row r="185" spans="1:6" x14ac:dyDescent="0.25">
      <c r="A185" t="str">
        <f>"5766"</f>
        <v>5766</v>
      </c>
      <c r="B185" t="str">
        <f>"Налог на транспортные средства"</f>
        <v>Налог на транспортные средства</v>
      </c>
      <c r="C185" t="str">
        <f>""</f>
        <v/>
      </c>
      <c r="D185" t="str">
        <f>""</f>
        <v/>
      </c>
      <c r="E185" t="str">
        <f>""</f>
        <v/>
      </c>
      <c r="F185" s="1">
        <v>13843</v>
      </c>
    </row>
    <row r="186" spans="1:6" x14ac:dyDescent="0.25">
      <c r="A186" t="str">
        <f>"5768"</f>
        <v>5768</v>
      </c>
      <c r="B186" t="str">
        <f>"Прочие налоги и обязательные платежи в бюджет"</f>
        <v>Прочие налоги и обязательные платежи в бюджет</v>
      </c>
      <c r="C186" t="str">
        <f>""</f>
        <v/>
      </c>
      <c r="D186" t="str">
        <f>""</f>
        <v/>
      </c>
      <c r="E186" t="str">
        <f>""</f>
        <v/>
      </c>
      <c r="F186" s="1">
        <v>116886.5</v>
      </c>
    </row>
    <row r="187" spans="1:6" x14ac:dyDescent="0.25">
      <c r="A187" t="str">
        <f>"5781"</f>
        <v>5781</v>
      </c>
      <c r="B187" t="str">
        <f>"Расходы по амортизации зданий и сооружений"</f>
        <v>Расходы по амортизации зданий и сооружений</v>
      </c>
      <c r="C187" t="str">
        <f>""</f>
        <v/>
      </c>
      <c r="D187" t="str">
        <f>""</f>
        <v/>
      </c>
      <c r="E187" t="str">
        <f>""</f>
        <v/>
      </c>
      <c r="F187" s="1">
        <v>168031.92</v>
      </c>
    </row>
    <row r="188" spans="1:6" x14ac:dyDescent="0.25">
      <c r="A188" t="str">
        <f>"5782"</f>
        <v>5782</v>
      </c>
      <c r="B188" t="str">
        <f>"Расходы по амортизации компьютерного оборудования"</f>
        <v>Расходы по амортизации компьютерного оборудования</v>
      </c>
      <c r="C188" t="str">
        <f>""</f>
        <v/>
      </c>
      <c r="D188" t="str">
        <f>""</f>
        <v/>
      </c>
      <c r="E188" t="str">
        <f>""</f>
        <v/>
      </c>
      <c r="F188" s="1">
        <v>6974615.54</v>
      </c>
    </row>
    <row r="189" spans="1:6" x14ac:dyDescent="0.25">
      <c r="A189" t="str">
        <f>"5783"</f>
        <v>5783</v>
      </c>
      <c r="B189" t="str">
        <f>"Расходы по амортизации прочих основных средств"</f>
        <v>Расходы по амортизации прочих основных средств</v>
      </c>
      <c r="C189" t="str">
        <f>""</f>
        <v/>
      </c>
      <c r="D189" t="str">
        <f>""</f>
        <v/>
      </c>
      <c r="E189" t="str">
        <f>""</f>
        <v/>
      </c>
      <c r="F189" s="1">
        <v>21016368.41</v>
      </c>
    </row>
    <row r="190" spans="1:6" x14ac:dyDescent="0.25">
      <c r="A190" t="str">
        <f>"5784"</f>
        <v>5784</v>
      </c>
      <c r="B190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90" t="str">
        <f>""</f>
        <v/>
      </c>
      <c r="D190" t="str">
        <f>""</f>
        <v/>
      </c>
      <c r="E190" t="str">
        <f>""</f>
        <v/>
      </c>
      <c r="F190" s="1">
        <v>125426985.55</v>
      </c>
    </row>
    <row r="191" spans="1:6" x14ac:dyDescent="0.25">
      <c r="A191" t="str">
        <f>"5787"</f>
        <v>5787</v>
      </c>
      <c r="B191" t="str">
        <f>"Расходы по амортизации транспортных средств"</f>
        <v>Расходы по амортизации транспортных средств</v>
      </c>
      <c r="C191" t="str">
        <f>""</f>
        <v/>
      </c>
      <c r="D191" t="str">
        <f>""</f>
        <v/>
      </c>
      <c r="E191" t="str">
        <f>""</f>
        <v/>
      </c>
      <c r="F191" s="1">
        <v>3188000.04</v>
      </c>
    </row>
    <row r="192" spans="1:6" x14ac:dyDescent="0.25">
      <c r="A192" t="str">
        <f>"5788"</f>
        <v>5788</v>
      </c>
      <c r="B192" t="str">
        <f>"Расходы по амортизации нематериальных активов"</f>
        <v>Расходы по амортизации нематериальных активов</v>
      </c>
      <c r="C192" t="str">
        <f>""</f>
        <v/>
      </c>
      <c r="D192" t="str">
        <f>""</f>
        <v/>
      </c>
      <c r="E192" t="str">
        <f>""</f>
        <v/>
      </c>
      <c r="F192" s="1">
        <v>82465871.109999999</v>
      </c>
    </row>
    <row r="193" spans="1:6" x14ac:dyDescent="0.25">
      <c r="A193" t="str">
        <f>"5900"</f>
        <v>5900</v>
      </c>
      <c r="B193" t="str">
        <f>"Неустойка (штраф, пеня)"</f>
        <v>Неустойка (штраф, пеня)</v>
      </c>
      <c r="C193" t="str">
        <f>""</f>
        <v/>
      </c>
      <c r="D193" t="str">
        <f>""</f>
        <v/>
      </c>
      <c r="E193" t="str">
        <f>""</f>
        <v/>
      </c>
      <c r="F193" s="1">
        <v>40953.51</v>
      </c>
    </row>
    <row r="194" spans="1:6" x14ac:dyDescent="0.25">
      <c r="A194" t="str">
        <f>"5921"</f>
        <v>5921</v>
      </c>
      <c r="B194" t="str">
        <f>"Прочие расходы от банковской деятельности"</f>
        <v>Прочие расходы от банковской деятельности</v>
      </c>
      <c r="C194" t="str">
        <f>""</f>
        <v/>
      </c>
      <c r="D194" t="str">
        <f>""</f>
        <v/>
      </c>
      <c r="E194" t="str">
        <f>""</f>
        <v/>
      </c>
      <c r="F194" s="1">
        <v>25233576.59</v>
      </c>
    </row>
    <row r="195" spans="1:6" x14ac:dyDescent="0.25">
      <c r="A195" t="str">
        <f>"5922"</f>
        <v>5922</v>
      </c>
      <c r="B195" t="str">
        <f>"Прочие расходы от неосновной деятельности"</f>
        <v>Прочие расходы от неосновной деятельности</v>
      </c>
      <c r="C195" t="str">
        <f>""</f>
        <v/>
      </c>
      <c r="D195" t="str">
        <f>""</f>
        <v/>
      </c>
      <c r="E195" t="str">
        <f>""</f>
        <v/>
      </c>
      <c r="F195" s="1">
        <v>7559929.3600000003</v>
      </c>
    </row>
    <row r="196" spans="1:6" x14ac:dyDescent="0.25">
      <c r="A196" t="str">
        <f>"5923"</f>
        <v>5923</v>
      </c>
      <c r="B196" t="str">
        <f>"Расходы по аренде"</f>
        <v>Расходы по аренде</v>
      </c>
      <c r="C196" t="str">
        <f>""</f>
        <v/>
      </c>
      <c r="D196" t="str">
        <f>""</f>
        <v/>
      </c>
      <c r="E196" t="str">
        <f>""</f>
        <v/>
      </c>
      <c r="F196" s="1">
        <v>2460000</v>
      </c>
    </row>
    <row r="197" spans="1:6" x14ac:dyDescent="0.25">
      <c r="A197" t="str">
        <f>"5999"</f>
        <v>5999</v>
      </c>
      <c r="B197" t="str">
        <f>"Корпоративный подоходный налог"</f>
        <v>Корпоративный подоходный налог</v>
      </c>
      <c r="C197" t="str">
        <f>""</f>
        <v/>
      </c>
      <c r="D197" t="str">
        <f>""</f>
        <v/>
      </c>
      <c r="E197" t="str">
        <f>""</f>
        <v/>
      </c>
      <c r="F197" s="1">
        <v>143828003.31</v>
      </c>
    </row>
    <row r="198" spans="1:6" x14ac:dyDescent="0.25">
      <c r="A198" t="str">
        <f>"6055"</f>
        <v>6055</v>
      </c>
      <c r="B19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8" t="str">
        <f>""</f>
        <v/>
      </c>
      <c r="D198" t="str">
        <f>""</f>
        <v/>
      </c>
      <c r="E198" t="str">
        <f>""</f>
        <v/>
      </c>
      <c r="F198" s="1">
        <v>11008960759.32</v>
      </c>
    </row>
    <row r="199" spans="1:6" x14ac:dyDescent="0.25">
      <c r="A199" t="str">
        <f>"6075"</f>
        <v>6075</v>
      </c>
      <c r="B199" t="str">
        <f>"Возможные требования по принятым гарантиям"</f>
        <v>Возможные требования по принятым гарантиям</v>
      </c>
      <c r="C199" t="str">
        <f>""</f>
        <v/>
      </c>
      <c r="D199" t="str">
        <f>""</f>
        <v/>
      </c>
      <c r="E199" t="str">
        <f>""</f>
        <v/>
      </c>
      <c r="F199" s="1">
        <v>16847371089.92</v>
      </c>
    </row>
    <row r="200" spans="1:6" x14ac:dyDescent="0.25">
      <c r="A200" t="str">
        <f>"6126"</f>
        <v>6126</v>
      </c>
      <c r="B20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200" t="str">
        <f>""</f>
        <v/>
      </c>
      <c r="D200" t="str">
        <f>""</f>
        <v/>
      </c>
      <c r="E200" t="str">
        <f>""</f>
        <v/>
      </c>
      <c r="F200" s="1">
        <v>1205424030.8399999</v>
      </c>
    </row>
    <row r="201" spans="1:6" x14ac:dyDescent="0.25">
      <c r="A201" t="str">
        <f>"6405"</f>
        <v>6405</v>
      </c>
      <c r="B201" t="str">
        <f>"Условные требования по купле-продаже иностранной валюты"</f>
        <v>Условные требования по купле-продаже иностранной валюты</v>
      </c>
      <c r="C201" t="str">
        <f>""</f>
        <v/>
      </c>
      <c r="D201" t="str">
        <f>""</f>
        <v/>
      </c>
      <c r="E201" t="str">
        <f>""</f>
        <v/>
      </c>
      <c r="F201" s="1">
        <v>1651513089.72</v>
      </c>
    </row>
    <row r="202" spans="1:6" x14ac:dyDescent="0.25">
      <c r="A202" t="str">
        <f>"6555"</f>
        <v>6555</v>
      </c>
      <c r="B20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202" t="str">
        <f>""</f>
        <v/>
      </c>
      <c r="D202" t="str">
        <f>""</f>
        <v/>
      </c>
      <c r="E202" t="str">
        <f>""</f>
        <v/>
      </c>
      <c r="F202" s="1">
        <v>11008960759.32</v>
      </c>
    </row>
    <row r="203" spans="1:6" x14ac:dyDescent="0.25">
      <c r="A203" t="str">
        <f>"6575"</f>
        <v>6575</v>
      </c>
      <c r="B203" t="str">
        <f>"Возможное уменьшение требований по принятым гарантиям"</f>
        <v>Возможное уменьшение требований по принятым гарантиям</v>
      </c>
      <c r="C203" t="str">
        <f>""</f>
        <v/>
      </c>
      <c r="D203" t="str">
        <f>""</f>
        <v/>
      </c>
      <c r="E203" t="str">
        <f>""</f>
        <v/>
      </c>
      <c r="F203" s="1">
        <v>16847371089.92</v>
      </c>
    </row>
    <row r="204" spans="1:6" x14ac:dyDescent="0.25">
      <c r="A204" t="str">
        <f>"6626"</f>
        <v>6626</v>
      </c>
      <c r="B20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204" t="str">
        <f>""</f>
        <v/>
      </c>
      <c r="D204" t="str">
        <f>""</f>
        <v/>
      </c>
      <c r="E204" t="str">
        <f>""</f>
        <v/>
      </c>
      <c r="F204" s="1">
        <v>1205424030.8399999</v>
      </c>
    </row>
    <row r="205" spans="1:6" x14ac:dyDescent="0.25">
      <c r="A205" t="str">
        <f>"6905"</f>
        <v>6905</v>
      </c>
      <c r="B20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5" t="str">
        <f>""</f>
        <v/>
      </c>
      <c r="D205" t="str">
        <f>""</f>
        <v/>
      </c>
      <c r="E205" t="str">
        <f>""</f>
        <v/>
      </c>
      <c r="F205" s="1">
        <v>1647248085.98</v>
      </c>
    </row>
    <row r="206" spans="1:6" x14ac:dyDescent="0.25">
      <c r="A206" t="str">
        <f>"6999"</f>
        <v>6999</v>
      </c>
      <c r="B206" t="str">
        <f>"Позиция по сделкам с иностранной валютой"</f>
        <v>Позиция по сделкам с иностранной валютой</v>
      </c>
      <c r="C206" t="str">
        <f>""</f>
        <v/>
      </c>
      <c r="D206" t="str">
        <f>""</f>
        <v/>
      </c>
      <c r="E206" t="str">
        <f>""</f>
        <v/>
      </c>
      <c r="F206" s="1">
        <v>4265003.74</v>
      </c>
    </row>
    <row r="207" spans="1:6" x14ac:dyDescent="0.25">
      <c r="A207" t="str">
        <f>"7250"</f>
        <v>7250</v>
      </c>
      <c r="B20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7" t="str">
        <f>""</f>
        <v/>
      </c>
      <c r="D207" t="str">
        <f>""</f>
        <v/>
      </c>
      <c r="E207" t="str">
        <f>""</f>
        <v/>
      </c>
      <c r="F207" s="1">
        <v>33050846566</v>
      </c>
    </row>
    <row r="208" spans="1:6" x14ac:dyDescent="0.25">
      <c r="A208" t="str">
        <f>"7303"</f>
        <v>7303</v>
      </c>
      <c r="B208" t="str">
        <f>"Платежные документы, не оплаченные в срок"</f>
        <v>Платежные документы, не оплаченные в срок</v>
      </c>
      <c r="C208" t="str">
        <f>""</f>
        <v/>
      </c>
      <c r="D208" t="str">
        <f>""</f>
        <v/>
      </c>
      <c r="E208" t="str">
        <f>""</f>
        <v/>
      </c>
      <c r="F208" s="1">
        <v>6536372466.7399998</v>
      </c>
    </row>
    <row r="209" spans="1:6" x14ac:dyDescent="0.25">
      <c r="A209" t="str">
        <f>"7339"</f>
        <v>7339</v>
      </c>
      <c r="B209" t="str">
        <f>"Разные ценности и документы"</f>
        <v>Разные ценности и документы</v>
      </c>
      <c r="C209" t="str">
        <f>""</f>
        <v/>
      </c>
      <c r="D209" t="str">
        <f>""</f>
        <v/>
      </c>
      <c r="E209" t="str">
        <f>""</f>
        <v/>
      </c>
      <c r="F209" s="1">
        <v>6717</v>
      </c>
    </row>
    <row r="210" spans="1:6" x14ac:dyDescent="0.25">
      <c r="A210" t="str">
        <f>"7342"</f>
        <v>7342</v>
      </c>
      <c r="B21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210" t="str">
        <f>""</f>
        <v/>
      </c>
      <c r="D210" t="str">
        <f>""</f>
        <v/>
      </c>
      <c r="E210" t="str">
        <f>""</f>
        <v/>
      </c>
      <c r="F210" s="1">
        <v>216</v>
      </c>
    </row>
    <row r="211" spans="1:6" x14ac:dyDescent="0.25">
      <c r="A211" t="str">
        <f>"7801"</f>
        <v>7801</v>
      </c>
      <c r="B211" t="str">
        <f>"Счет учета банком денег клиентов"</f>
        <v>Счет учета банком денег клиентов</v>
      </c>
      <c r="C211" t="str">
        <f>""</f>
        <v/>
      </c>
      <c r="D211" t="str">
        <f>""</f>
        <v/>
      </c>
      <c r="E211" t="str">
        <f>""</f>
        <v/>
      </c>
      <c r="F211" s="1">
        <v>181292156.16</v>
      </c>
    </row>
    <row r="212" spans="1:6" x14ac:dyDescent="0.25">
      <c r="A212" t="str">
        <f>"7806"</f>
        <v>7806</v>
      </c>
      <c r="B212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C212" t="str">
        <f>""</f>
        <v/>
      </c>
      <c r="D212" t="str">
        <f>""</f>
        <v/>
      </c>
      <c r="E212" t="str">
        <f>""</f>
        <v/>
      </c>
      <c r="F212" s="1">
        <v>1737100147.8499999</v>
      </c>
    </row>
    <row r="213" spans="1:6" x14ac:dyDescent="0.25">
      <c r="A213" t="str">
        <f>"7813"</f>
        <v>7813</v>
      </c>
      <c r="B213" t="str">
        <f>"Резервы (провизии) на покрытие убытков"</f>
        <v>Резервы (провизии) на покрытие убытков</v>
      </c>
      <c r="C213" t="str">
        <f>""</f>
        <v/>
      </c>
      <c r="D213" t="str">
        <f>""</f>
        <v/>
      </c>
      <c r="E213" t="str">
        <f>""</f>
        <v/>
      </c>
      <c r="F213" s="1">
        <v>-1281318053</v>
      </c>
    </row>
    <row r="214" spans="1:6" x14ac:dyDescent="0.25">
      <c r="A214" t="str">
        <f>"7831"</f>
        <v>7831</v>
      </c>
      <c r="B214" t="str">
        <f>"Обязательства по инвестиционным депозитам"</f>
        <v>Обязательства по инвестиционным депозитам</v>
      </c>
      <c r="C214" t="str">
        <f>""</f>
        <v/>
      </c>
      <c r="D214" t="str">
        <f>""</f>
        <v/>
      </c>
      <c r="E214" t="str">
        <f>""</f>
        <v/>
      </c>
      <c r="F214" s="1">
        <v>1808017371.53</v>
      </c>
    </row>
    <row r="215" spans="1:6" x14ac:dyDescent="0.25">
      <c r="A215" t="str">
        <f>"7833"</f>
        <v>7833</v>
      </c>
      <c r="B215" t="str">
        <f>"Начисленные расходы по инвестиционным депозитам"</f>
        <v>Начисленные расходы по инвестиционным депозитам</v>
      </c>
      <c r="C215" t="str">
        <f>""</f>
        <v/>
      </c>
      <c r="D215" t="str">
        <f>""</f>
        <v/>
      </c>
      <c r="E215" t="str">
        <f>""</f>
        <v/>
      </c>
      <c r="F215" s="1">
        <v>8002149.3200000003</v>
      </c>
    </row>
    <row r="216" spans="1:6" x14ac:dyDescent="0.25">
      <c r="A216" t="str">
        <f>"7834"</f>
        <v>7834</v>
      </c>
      <c r="B216" t="str">
        <f>"Вознаграждение за управление инвестиционным депозитом"</f>
        <v>Вознаграждение за управление инвестиционным депозитом</v>
      </c>
      <c r="C216" t="str">
        <f>""</f>
        <v/>
      </c>
      <c r="D216" t="str">
        <f>""</f>
        <v/>
      </c>
      <c r="E216" t="str">
        <f>""</f>
        <v/>
      </c>
      <c r="F216" s="1">
        <v>139576644.34999999</v>
      </c>
    </row>
    <row r="217" spans="1:6" x14ac:dyDescent="0.25">
      <c r="A217" t="str">
        <f>"7851"</f>
        <v>7851</v>
      </c>
      <c r="B217" t="str">
        <f>"Капитал"</f>
        <v>Капитал</v>
      </c>
      <c r="C217" t="str">
        <f>""</f>
        <v/>
      </c>
      <c r="D217" t="str">
        <f>""</f>
        <v/>
      </c>
      <c r="E217" t="str">
        <f>""</f>
        <v/>
      </c>
      <c r="F217" s="1">
        <v>-1248804481.21</v>
      </c>
    </row>
    <row r="218" spans="1:6" x14ac:dyDescent="0.25">
      <c r="A218" t="str">
        <f>"7866"</f>
        <v>7866</v>
      </c>
      <c r="B218" t="str">
        <f>"Доходы от восстановления резервов (провизий)"</f>
        <v>Доходы от восстановления резервов (провизий)</v>
      </c>
      <c r="C218" t="str">
        <f>""</f>
        <v/>
      </c>
      <c r="D218" t="str">
        <f>""</f>
        <v/>
      </c>
      <c r="E218" t="str">
        <f>""</f>
        <v/>
      </c>
      <c r="F218" s="1">
        <v>15400850</v>
      </c>
    </row>
    <row r="219" spans="1:6" x14ac:dyDescent="0.25">
      <c r="A219" t="str">
        <f>"7867"</f>
        <v>7867</v>
      </c>
      <c r="B219" t="str">
        <f>"Доходы по курсовой разнице"</f>
        <v>Доходы по курсовой разнице</v>
      </c>
      <c r="C219" t="str">
        <f>""</f>
        <v/>
      </c>
      <c r="D219" t="str">
        <f>""</f>
        <v/>
      </c>
      <c r="E219" t="str">
        <f>""</f>
        <v/>
      </c>
      <c r="F219" s="1">
        <v>50293217.170000002</v>
      </c>
    </row>
    <row r="220" spans="1:6" x14ac:dyDescent="0.25">
      <c r="A220" t="str">
        <f>"7870"</f>
        <v>7870</v>
      </c>
      <c r="B220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C220" t="str">
        <f>""</f>
        <v/>
      </c>
      <c r="D220" t="str">
        <f>""</f>
        <v/>
      </c>
      <c r="E220" t="str">
        <f>""</f>
        <v/>
      </c>
      <c r="F220" s="1">
        <v>20250000</v>
      </c>
    </row>
    <row r="221" spans="1:6" x14ac:dyDescent="0.25">
      <c r="A221" t="str">
        <f>"7881"</f>
        <v>7881</v>
      </c>
      <c r="B22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C221" t="str">
        <f>""</f>
        <v/>
      </c>
      <c r="D221" t="str">
        <f>""</f>
        <v/>
      </c>
      <c r="E221" t="str">
        <f>""</f>
        <v/>
      </c>
      <c r="F221" s="1">
        <v>20250000</v>
      </c>
    </row>
    <row r="222" spans="1:6" x14ac:dyDescent="0.25">
      <c r="A222" t="str">
        <f>"7886"</f>
        <v>7886</v>
      </c>
      <c r="B222" t="str">
        <f>"Расходы по курсовой разнице"</f>
        <v>Расходы по курсовой разнице</v>
      </c>
      <c r="C222" t="str">
        <f>""</f>
        <v/>
      </c>
      <c r="D222" t="str">
        <f>""</f>
        <v/>
      </c>
      <c r="E222" t="str">
        <f>""</f>
        <v/>
      </c>
      <c r="F222" s="1">
        <v>50293217.149999999</v>
      </c>
    </row>
    <row r="223" spans="1:6" x14ac:dyDescent="0.25">
      <c r="A223" t="str">
        <f>"7889"</f>
        <v>7889</v>
      </c>
      <c r="B223" t="str">
        <f>"Убытки от обесценения активов"</f>
        <v>Убытки от обесценения активов</v>
      </c>
      <c r="C223" t="str">
        <f>""</f>
        <v/>
      </c>
      <c r="D223" t="str">
        <f>""</f>
        <v/>
      </c>
      <c r="E223" t="str">
        <f>""</f>
        <v/>
      </c>
      <c r="F223" s="1">
        <v>85118283</v>
      </c>
    </row>
    <row r="225" spans="1:7" x14ac:dyDescent="0.25">
      <c r="A225" s="4" t="s">
        <v>13</v>
      </c>
      <c r="B225" s="4"/>
      <c r="C225" s="4" t="s">
        <v>14</v>
      </c>
      <c r="D225" s="4"/>
      <c r="E225" s="4"/>
      <c r="F225" s="4"/>
      <c r="G225" s="8"/>
    </row>
    <row r="227" spans="1:7" x14ac:dyDescent="0.25">
      <c r="A227" s="4" t="s">
        <v>12</v>
      </c>
      <c r="B227" s="4"/>
      <c r="C227" s="4" t="s">
        <v>15</v>
      </c>
      <c r="D227" s="4"/>
      <c r="E227" s="4"/>
      <c r="F227" s="4"/>
      <c r="G227" s="8"/>
    </row>
    <row r="228" spans="1:7" x14ac:dyDescent="0.25">
      <c r="A228" s="7"/>
      <c r="B228" s="8"/>
      <c r="C228" s="9" t="s">
        <v>11</v>
      </c>
      <c r="D228" s="4"/>
      <c r="E228" s="4"/>
      <c r="F228" s="4"/>
      <c r="G228" s="4"/>
    </row>
    <row r="230" spans="1:7" x14ac:dyDescent="0.25">
      <c r="A230" s="4" t="s">
        <v>9</v>
      </c>
      <c r="B230" s="4"/>
      <c r="C230" s="5" t="s">
        <v>10</v>
      </c>
      <c r="D230" s="6"/>
      <c r="E230" s="6"/>
      <c r="F230" s="6"/>
      <c r="G230" s="6"/>
    </row>
    <row r="231" spans="1:7" x14ac:dyDescent="0.25">
      <c r="A231" s="7"/>
      <c r="B231" s="8"/>
      <c r="C231" s="9" t="s">
        <v>11</v>
      </c>
      <c r="D231" s="4"/>
      <c r="E231" s="4"/>
      <c r="F231" s="4"/>
      <c r="G231" s="4"/>
    </row>
  </sheetData>
  <autoFilter ref="A5:F223"/>
  <mergeCells count="10">
    <mergeCell ref="A225:B225"/>
    <mergeCell ref="C225:D225"/>
    <mergeCell ref="E225:F225"/>
    <mergeCell ref="C227:D227"/>
    <mergeCell ref="E227:F227"/>
    <mergeCell ref="A230:B230"/>
    <mergeCell ref="C230:G230"/>
    <mergeCell ref="C231:G231"/>
    <mergeCell ref="A227:B227"/>
    <mergeCell ref="C228:G2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17.28515625" style="2" bestFit="1" customWidth="1"/>
  </cols>
  <sheetData>
    <row r="1" spans="1:1" x14ac:dyDescent="0.25">
      <c r="A1" s="2">
        <v>12769362931.299999</v>
      </c>
    </row>
    <row r="2" spans="1:1" x14ac:dyDescent="0.25">
      <c r="A2" s="2">
        <v>209084538.96000001</v>
      </c>
    </row>
    <row r="3" spans="1:1" x14ac:dyDescent="0.25">
      <c r="A3" s="2">
        <f>A1-A2</f>
        <v>12560278392.34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VREP_700_ND_RESPONDENTundefined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Шатанова Гаухар Конырбаевна</dc:creator>
  <cp:lastModifiedBy>Габдулина Дина Сарсимбаевна</cp:lastModifiedBy>
  <dcterms:created xsi:type="dcterms:W3CDTF">2024-01-08T10:44:27Z</dcterms:created>
  <dcterms:modified xsi:type="dcterms:W3CDTF">2024-01-12T05:09:15Z</dcterms:modified>
</cp:coreProperties>
</file>